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Lenovo\Documents\SSPD-INFORMES\MONITOREOS 2022\Monitoreo Noviembre-Diciembre-2021\Miguel Lizcano\"/>
    </mc:Choice>
  </mc:AlternateContent>
  <bookViews>
    <workbookView xWindow="0" yWindow="0" windowWidth="20490" windowHeight="7155" firstSheet="4" activeTab="5"/>
  </bookViews>
  <sheets>
    <sheet name="FLUJO DE CAJA" sheetId="1" r:id="rId1"/>
    <sheet name="ProyeccGastosG" sheetId="2" r:id="rId2"/>
    <sheet name="FLUJO DE CAJA ENERO 2021" sheetId="3" r:id="rId3"/>
    <sheet name="FLUJO DE CAJA FEBRERO 2021" sheetId="4" r:id="rId4"/>
    <sheet name="FLUJO DE CAJA MARZO 2021" sheetId="5" r:id="rId5"/>
    <sheet name="flujo caja 2021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64" i="6" l="1"/>
  <c r="N66" i="6" s="1"/>
  <c r="N42" i="6"/>
  <c r="N17" i="6"/>
  <c r="N59" i="6"/>
  <c r="M59" i="6"/>
  <c r="M42" i="6"/>
  <c r="N16" i="6"/>
  <c r="N23" i="6"/>
  <c r="N33" i="6"/>
  <c r="M63" i="6"/>
  <c r="N3" i="6"/>
  <c r="M23" i="6"/>
  <c r="M16" i="6"/>
  <c r="M4" i="6"/>
  <c r="M33" i="6"/>
  <c r="M3" i="6"/>
  <c r="L63" i="6"/>
  <c r="L57" i="6"/>
  <c r="L56" i="6"/>
  <c r="L55" i="6"/>
  <c r="L42" i="6"/>
  <c r="L59" i="6"/>
  <c r="L16" i="6"/>
  <c r="L4" i="6"/>
  <c r="L8" i="6"/>
  <c r="J42" i="6"/>
  <c r="K42" i="6"/>
  <c r="K23" i="6" l="1"/>
  <c r="K59" i="6"/>
  <c r="L33" i="6"/>
  <c r="K16" i="6"/>
  <c r="K4" i="6"/>
  <c r="K17" i="6"/>
  <c r="K33" i="6"/>
  <c r="I58" i="6"/>
  <c r="J58" i="6"/>
  <c r="J16" i="6"/>
  <c r="J10" i="6"/>
  <c r="J33" i="6"/>
  <c r="I42" i="6"/>
  <c r="J40" i="6"/>
  <c r="I23" i="6"/>
  <c r="I4" i="6"/>
  <c r="I16" i="6"/>
  <c r="I33" i="6" l="1"/>
  <c r="H42" i="6"/>
  <c r="H16" i="6"/>
  <c r="H36" i="6"/>
  <c r="N13" i="6"/>
  <c r="J54" i="6"/>
  <c r="K54" i="6"/>
  <c r="L54" i="6"/>
  <c r="M54" i="6"/>
  <c r="N54" i="6"/>
  <c r="H33" i="6"/>
  <c r="H54" i="6" s="1"/>
  <c r="G33" i="6"/>
  <c r="G42" i="6"/>
  <c r="I54" i="6" l="1"/>
  <c r="G16" i="6"/>
  <c r="G4" i="6"/>
  <c r="F42" i="6"/>
  <c r="C42" i="6" l="1"/>
  <c r="D42" i="6"/>
  <c r="C6" i="6"/>
  <c r="C13" i="6" s="1"/>
  <c r="C59" i="6"/>
  <c r="D59" i="6" s="1"/>
  <c r="E59" i="6" s="1"/>
  <c r="F59" i="6" s="1"/>
  <c r="G59" i="6" s="1"/>
  <c r="H59" i="6" s="1"/>
  <c r="I59" i="6" s="1"/>
  <c r="J59" i="6" s="1"/>
  <c r="D6" i="6"/>
  <c r="E6" i="6"/>
  <c r="G54" i="6"/>
  <c r="E41" i="5"/>
  <c r="E42" i="6"/>
  <c r="F16" i="6"/>
  <c r="N55" i="6"/>
  <c r="N63" i="6" s="1"/>
  <c r="O52" i="6"/>
  <c r="O51" i="6"/>
  <c r="E50" i="6"/>
  <c r="O50" i="6" s="1"/>
  <c r="C50" i="6"/>
  <c r="O49" i="6"/>
  <c r="O48" i="6"/>
  <c r="O47" i="6"/>
  <c r="O46" i="6"/>
  <c r="O43" i="6"/>
  <c r="O41" i="6"/>
  <c r="O40" i="6"/>
  <c r="O39" i="6"/>
  <c r="O38" i="6"/>
  <c r="O37" i="6"/>
  <c r="O36" i="6"/>
  <c r="F36" i="6"/>
  <c r="C36" i="6"/>
  <c r="D35" i="6"/>
  <c r="O35" i="6" s="1"/>
  <c r="O34" i="6"/>
  <c r="F33" i="6"/>
  <c r="E33" i="6"/>
  <c r="D33" i="6"/>
  <c r="C33" i="6"/>
  <c r="O33" i="6" s="1"/>
  <c r="O32" i="6"/>
  <c r="O31" i="6"/>
  <c r="O30" i="6"/>
  <c r="D29" i="6"/>
  <c r="O29" i="6" s="1"/>
  <c r="O28" i="6"/>
  <c r="O27" i="6"/>
  <c r="O26" i="6"/>
  <c r="O25" i="6"/>
  <c r="O24" i="6"/>
  <c r="O23" i="6"/>
  <c r="O22" i="6"/>
  <c r="O21" i="6"/>
  <c r="O20" i="6"/>
  <c r="O19" i="6"/>
  <c r="O18" i="6"/>
  <c r="F17" i="6"/>
  <c r="O17" i="6" s="1"/>
  <c r="E16" i="6"/>
  <c r="D16" i="6"/>
  <c r="C12" i="6"/>
  <c r="O12" i="6" s="1"/>
  <c r="O11" i="6"/>
  <c r="E11" i="6"/>
  <c r="C11" i="6"/>
  <c r="O9" i="6"/>
  <c r="O8" i="6"/>
  <c r="E8" i="6"/>
  <c r="D8" i="6"/>
  <c r="O7" i="6"/>
  <c r="O5" i="6"/>
  <c r="E4" i="6"/>
  <c r="O4" i="6" s="1"/>
  <c r="F15" i="5"/>
  <c r="F16" i="5"/>
  <c r="F35" i="5"/>
  <c r="O35" i="5" s="1"/>
  <c r="F32" i="5"/>
  <c r="D54" i="5"/>
  <c r="D41" i="5"/>
  <c r="E15" i="5"/>
  <c r="E58" i="5"/>
  <c r="D58" i="5"/>
  <c r="C58" i="5"/>
  <c r="N54" i="5"/>
  <c r="M54" i="5"/>
  <c r="L54" i="5"/>
  <c r="K54" i="5"/>
  <c r="J54" i="5"/>
  <c r="I54" i="5"/>
  <c r="H54" i="5"/>
  <c r="G54" i="5"/>
  <c r="O51" i="5"/>
  <c r="O50" i="5"/>
  <c r="O49" i="5"/>
  <c r="E49" i="5"/>
  <c r="C49" i="5"/>
  <c r="O48" i="5"/>
  <c r="O47" i="5"/>
  <c r="O46" i="5"/>
  <c r="O45" i="5"/>
  <c r="O42" i="5"/>
  <c r="C41" i="5"/>
  <c r="O40" i="5"/>
  <c r="O39" i="5"/>
  <c r="O38" i="5"/>
  <c r="O37" i="5"/>
  <c r="O36" i="5"/>
  <c r="C35" i="5"/>
  <c r="D34" i="5"/>
  <c r="O34" i="5" s="1"/>
  <c r="O33" i="5"/>
  <c r="E32" i="5"/>
  <c r="D32" i="5"/>
  <c r="C32" i="5"/>
  <c r="C53" i="5" s="1"/>
  <c r="O31" i="5"/>
  <c r="O30" i="5"/>
  <c r="O29" i="5"/>
  <c r="O28" i="5"/>
  <c r="D28" i="5"/>
  <c r="O27" i="5"/>
  <c r="O26" i="5"/>
  <c r="O25" i="5"/>
  <c r="O24" i="5"/>
  <c r="O23" i="5"/>
  <c r="O22" i="5"/>
  <c r="O21" i="5"/>
  <c r="O20" i="5"/>
  <c r="O19" i="5"/>
  <c r="O18" i="5"/>
  <c r="O17" i="5"/>
  <c r="O16" i="5"/>
  <c r="D15" i="5"/>
  <c r="C11" i="5"/>
  <c r="O11" i="5" s="1"/>
  <c r="O10" i="5"/>
  <c r="E10" i="5"/>
  <c r="C10" i="5"/>
  <c r="O9" i="5"/>
  <c r="O8" i="5"/>
  <c r="E8" i="5"/>
  <c r="D8" i="5"/>
  <c r="O7" i="5"/>
  <c r="O6" i="5"/>
  <c r="D6" i="5"/>
  <c r="C6" i="5"/>
  <c r="C12" i="5" s="1"/>
  <c r="C54" i="5" s="1"/>
  <c r="C55" i="5" s="1"/>
  <c r="O5" i="5"/>
  <c r="O4" i="5"/>
  <c r="O12" i="5" s="1"/>
  <c r="E4" i="5"/>
  <c r="E60" i="4"/>
  <c r="E58" i="4"/>
  <c r="E56" i="4"/>
  <c r="E15" i="4"/>
  <c r="E32" i="4"/>
  <c r="E10" i="4"/>
  <c r="E4" i="4"/>
  <c r="D58" i="4"/>
  <c r="C58" i="4"/>
  <c r="D41" i="4"/>
  <c r="C41" i="4"/>
  <c r="E8" i="4"/>
  <c r="C6" i="4"/>
  <c r="C11" i="4"/>
  <c r="C54" i="6" l="1"/>
  <c r="C55" i="6" s="1"/>
  <c r="D3" i="6" s="1"/>
  <c r="D13" i="6" s="1"/>
  <c r="O42" i="6"/>
  <c r="F54" i="6"/>
  <c r="O6" i="6"/>
  <c r="O13" i="6" s="1"/>
  <c r="O16" i="6"/>
  <c r="E54" i="6"/>
  <c r="C61" i="6"/>
  <c r="D54" i="6"/>
  <c r="O15" i="5"/>
  <c r="F53" i="5"/>
  <c r="O41" i="5"/>
  <c r="E53" i="5"/>
  <c r="F62" i="5" s="1"/>
  <c r="C60" i="5"/>
  <c r="D3" i="5"/>
  <c r="D12" i="5" s="1"/>
  <c r="D53" i="5"/>
  <c r="O32" i="5"/>
  <c r="O53" i="5" s="1"/>
  <c r="E49" i="4"/>
  <c r="E53" i="4" s="1"/>
  <c r="F12" i="4"/>
  <c r="F53" i="4"/>
  <c r="F54" i="4" s="1"/>
  <c r="D53" i="4"/>
  <c r="D6" i="4"/>
  <c r="D15" i="4"/>
  <c r="D28" i="4"/>
  <c r="D8" i="4"/>
  <c r="N54" i="4"/>
  <c r="M54" i="4"/>
  <c r="L54" i="4"/>
  <c r="K54" i="4"/>
  <c r="J54" i="4"/>
  <c r="I54" i="4"/>
  <c r="H54" i="4"/>
  <c r="G54" i="4"/>
  <c r="O51" i="4"/>
  <c r="O50" i="4"/>
  <c r="C49" i="4"/>
  <c r="O49" i="4" s="1"/>
  <c r="O48" i="4"/>
  <c r="O47" i="4"/>
  <c r="O46" i="4"/>
  <c r="O45" i="4"/>
  <c r="O42" i="4"/>
  <c r="O41" i="4"/>
  <c r="O40" i="4"/>
  <c r="O39" i="4"/>
  <c r="O38" i="4"/>
  <c r="O37" i="4"/>
  <c r="O36" i="4"/>
  <c r="C35" i="4"/>
  <c r="O35" i="4" s="1"/>
  <c r="D34" i="4"/>
  <c r="O34" i="4" s="1"/>
  <c r="O33" i="4"/>
  <c r="D32" i="4"/>
  <c r="C32" i="4"/>
  <c r="O31" i="4"/>
  <c r="O30" i="4"/>
  <c r="O29" i="4"/>
  <c r="O28" i="4"/>
  <c r="O27" i="4"/>
  <c r="O26" i="4"/>
  <c r="O25" i="4"/>
  <c r="O24" i="4"/>
  <c r="O23" i="4"/>
  <c r="O22" i="4"/>
  <c r="O21" i="4"/>
  <c r="O20" i="4"/>
  <c r="O19" i="4"/>
  <c r="O18" i="4"/>
  <c r="O17" i="4"/>
  <c r="O16" i="4"/>
  <c r="O11" i="4"/>
  <c r="C10" i="4"/>
  <c r="O10" i="4" s="1"/>
  <c r="O9" i="4"/>
  <c r="O8" i="4"/>
  <c r="O7" i="4"/>
  <c r="O6" i="4"/>
  <c r="O5" i="4"/>
  <c r="O4" i="4"/>
  <c r="D8" i="3"/>
  <c r="D15" i="3"/>
  <c r="D53" i="3"/>
  <c r="C6" i="3"/>
  <c r="D32" i="3"/>
  <c r="D34" i="3"/>
  <c r="O33" i="3"/>
  <c r="O54" i="6" l="1"/>
  <c r="D55" i="6"/>
  <c r="D63" i="6" s="1"/>
  <c r="D62" i="5"/>
  <c r="O15" i="4"/>
  <c r="O32" i="4"/>
  <c r="O12" i="4"/>
  <c r="C12" i="4"/>
  <c r="C53" i="4"/>
  <c r="D54" i="2"/>
  <c r="D53" i="2"/>
  <c r="D34" i="1"/>
  <c r="D34" i="2"/>
  <c r="D15" i="1"/>
  <c r="D15" i="2"/>
  <c r="C6" i="2"/>
  <c r="C6" i="1"/>
  <c r="C41" i="3"/>
  <c r="C41" i="2"/>
  <c r="C41" i="1"/>
  <c r="C10" i="1"/>
  <c r="C10" i="2"/>
  <c r="C10" i="3"/>
  <c r="C32" i="1"/>
  <c r="C32" i="2"/>
  <c r="C32" i="3"/>
  <c r="E3" i="6" l="1"/>
  <c r="E13" i="6" s="1"/>
  <c r="E55" i="6" s="1"/>
  <c r="E61" i="6" s="1"/>
  <c r="D61" i="6"/>
  <c r="D60" i="5"/>
  <c r="E3" i="5"/>
  <c r="E12" i="5" s="1"/>
  <c r="E54" i="5" s="1"/>
  <c r="F3" i="5" s="1"/>
  <c r="F12" i="5" s="1"/>
  <c r="F54" i="5" s="1"/>
  <c r="O53" i="4"/>
  <c r="C54" i="4"/>
  <c r="O11" i="3"/>
  <c r="C11" i="3"/>
  <c r="O10" i="3"/>
  <c r="E54" i="3"/>
  <c r="F54" i="3"/>
  <c r="G54" i="3"/>
  <c r="H54" i="3"/>
  <c r="I54" i="3"/>
  <c r="J54" i="3"/>
  <c r="K54" i="3"/>
  <c r="L54" i="3"/>
  <c r="M54" i="3"/>
  <c r="N54" i="3"/>
  <c r="C12" i="3"/>
  <c r="C35" i="3"/>
  <c r="O35" i="3" s="1"/>
  <c r="C53" i="3"/>
  <c r="C49" i="3"/>
  <c r="O51" i="3"/>
  <c r="O25" i="3"/>
  <c r="O26" i="3"/>
  <c r="O27" i="3"/>
  <c r="O28" i="3"/>
  <c r="O29" i="3"/>
  <c r="O30" i="3"/>
  <c r="O31" i="3"/>
  <c r="O32" i="3"/>
  <c r="O34" i="3"/>
  <c r="O36" i="3"/>
  <c r="O37" i="3"/>
  <c r="O38" i="3"/>
  <c r="O39" i="3"/>
  <c r="O40" i="3"/>
  <c r="O41" i="3"/>
  <c r="O42" i="3"/>
  <c r="O23" i="3"/>
  <c r="O24" i="3"/>
  <c r="O18" i="3"/>
  <c r="O19" i="3"/>
  <c r="O20" i="3"/>
  <c r="O21" i="3"/>
  <c r="O22" i="3"/>
  <c r="O17" i="3"/>
  <c r="O16" i="3"/>
  <c r="O6" i="3"/>
  <c r="O7" i="3"/>
  <c r="O5" i="3"/>
  <c r="O8" i="3"/>
  <c r="O50" i="3"/>
  <c r="O49" i="3"/>
  <c r="O48" i="3"/>
  <c r="O47" i="3"/>
  <c r="O45" i="3"/>
  <c r="O46" i="3"/>
  <c r="F3" i="6" l="1"/>
  <c r="F13" i="6" s="1"/>
  <c r="F55" i="6" s="1"/>
  <c r="F61" i="6" s="1"/>
  <c r="E60" i="5"/>
  <c r="C55" i="4"/>
  <c r="C54" i="3"/>
  <c r="D3" i="3" s="1"/>
  <c r="D12" i="3" s="1"/>
  <c r="D54" i="3" s="1"/>
  <c r="P35" i="3"/>
  <c r="P37" i="3"/>
  <c r="P38" i="3"/>
  <c r="P53" i="3"/>
  <c r="P34" i="3"/>
  <c r="G3" i="6" l="1"/>
  <c r="G13" i="6" s="1"/>
  <c r="G55" i="6" s="1"/>
  <c r="D3" i="4"/>
  <c r="D12" i="4" s="1"/>
  <c r="D54" i="4" s="1"/>
  <c r="C60" i="4"/>
  <c r="P40" i="3"/>
  <c r="G61" i="6" l="1"/>
  <c r="H3" i="6"/>
  <c r="H13" i="6" s="1"/>
  <c r="H55" i="6" s="1"/>
  <c r="E3" i="4"/>
  <c r="E12" i="4" s="1"/>
  <c r="E54" i="4" s="1"/>
  <c r="D60" i="4"/>
  <c r="D19" i="2"/>
  <c r="D20" i="2" s="1"/>
  <c r="I3" i="6" l="1"/>
  <c r="I13" i="6" s="1"/>
  <c r="I55" i="6" s="1"/>
  <c r="H61" i="6"/>
  <c r="O15" i="3"/>
  <c r="I62" i="6" l="1"/>
  <c r="I63" i="6" s="1"/>
  <c r="J3" i="6"/>
  <c r="J13" i="6" s="1"/>
  <c r="R16" i="2"/>
  <c r="B9" i="2"/>
  <c r="Q10" i="2"/>
  <c r="Q11" i="2"/>
  <c r="Q12" i="2"/>
  <c r="Q13" i="2"/>
  <c r="Q14" i="2"/>
  <c r="Q9" i="2"/>
  <c r="Q18" i="2"/>
  <c r="Q17" i="2"/>
  <c r="O12" i="3"/>
  <c r="O4" i="3"/>
  <c r="J55" i="6" l="1"/>
  <c r="J62" i="6" s="1"/>
  <c r="J63" i="6" s="1"/>
  <c r="O9" i="3"/>
  <c r="K3" i="6" l="1"/>
  <c r="K13" i="6" s="1"/>
  <c r="O53" i="3"/>
  <c r="M29" i="1"/>
  <c r="M35" i="1"/>
  <c r="M71" i="1"/>
  <c r="M9" i="1"/>
  <c r="M17" i="1" s="1"/>
  <c r="M15" i="1"/>
  <c r="F10" i="1"/>
  <c r="L72" i="1"/>
  <c r="L29" i="1"/>
  <c r="L40" i="1" s="1"/>
  <c r="L7" i="1"/>
  <c r="L15" i="1"/>
  <c r="L64" i="1"/>
  <c r="L67" i="1" s="1"/>
  <c r="L71" i="1"/>
  <c r="K29" i="1"/>
  <c r="K64" i="1"/>
  <c r="K67" i="1" s="1"/>
  <c r="K71" i="1"/>
  <c r="J72" i="1"/>
  <c r="K72" i="1"/>
  <c r="K15" i="1"/>
  <c r="K30" i="1"/>
  <c r="K7" i="1"/>
  <c r="J10" i="1"/>
  <c r="J17" i="1" s="1"/>
  <c r="J15" i="1"/>
  <c r="J64" i="1"/>
  <c r="J29" i="1"/>
  <c r="J40" i="1" s="1"/>
  <c r="J71" i="1"/>
  <c r="O35" i="1"/>
  <c r="J30" i="1"/>
  <c r="I72" i="1"/>
  <c r="I10" i="1"/>
  <c r="I71" i="1"/>
  <c r="I80" i="1"/>
  <c r="D55" i="1"/>
  <c r="O55" i="1" s="1"/>
  <c r="K75" i="1"/>
  <c r="M67" i="1"/>
  <c r="N67" i="1"/>
  <c r="K40" i="1"/>
  <c r="N40" i="1"/>
  <c r="J44" i="1"/>
  <c r="J67" i="1"/>
  <c r="I29" i="1"/>
  <c r="I64" i="1"/>
  <c r="I15" i="1"/>
  <c r="H7" i="1"/>
  <c r="H15" i="1"/>
  <c r="H71" i="1"/>
  <c r="H37" i="1"/>
  <c r="O37" i="1" s="1"/>
  <c r="H64" i="1"/>
  <c r="H29" i="1"/>
  <c r="O29" i="1" s="1"/>
  <c r="G29" i="1"/>
  <c r="I44" i="1"/>
  <c r="I20" i="1"/>
  <c r="I40" i="1" s="1"/>
  <c r="H10" i="1"/>
  <c r="H20" i="1"/>
  <c r="H66" i="1"/>
  <c r="H63" i="1"/>
  <c r="O63" i="1" s="1"/>
  <c r="H27" i="1"/>
  <c r="F72" i="1"/>
  <c r="F75" i="1" s="1"/>
  <c r="G71" i="1"/>
  <c r="G14" i="1"/>
  <c r="G10" i="1"/>
  <c r="G17" i="1" s="1"/>
  <c r="G15" i="1"/>
  <c r="G64" i="1"/>
  <c r="E27" i="1"/>
  <c r="E72" i="1"/>
  <c r="O72" i="1" s="1"/>
  <c r="G11" i="1"/>
  <c r="E5" i="1"/>
  <c r="G72" i="1"/>
  <c r="G75" i="1" s="1"/>
  <c r="G43" i="1"/>
  <c r="O14" i="1"/>
  <c r="G25" i="1"/>
  <c r="G40" i="1" s="1"/>
  <c r="G42" i="1"/>
  <c r="D71" i="1"/>
  <c r="E43" i="1"/>
  <c r="E44" i="1" s="1"/>
  <c r="E47" i="1"/>
  <c r="E20" i="1"/>
  <c r="E23" i="1"/>
  <c r="E10" i="1"/>
  <c r="E17" i="1" s="1"/>
  <c r="E18" i="1" s="1"/>
  <c r="O70" i="1"/>
  <c r="O68" i="1"/>
  <c r="O38" i="1"/>
  <c r="O61" i="1"/>
  <c r="O66" i="1"/>
  <c r="F24" i="1"/>
  <c r="E42" i="1"/>
  <c r="E54" i="1"/>
  <c r="E25" i="1"/>
  <c r="O13" i="1"/>
  <c r="I36" i="1"/>
  <c r="G36" i="1"/>
  <c r="B11" i="2"/>
  <c r="B19" i="2" s="1"/>
  <c r="C11" i="2"/>
  <c r="F44" i="1"/>
  <c r="F40" i="1"/>
  <c r="F67" i="1"/>
  <c r="F17" i="1"/>
  <c r="F18" i="1" s="1"/>
  <c r="O73" i="1"/>
  <c r="O62" i="1"/>
  <c r="O58" i="1"/>
  <c r="O51" i="1"/>
  <c r="O49" i="1"/>
  <c r="O45" i="1"/>
  <c r="O41" i="1"/>
  <c r="O33" i="1"/>
  <c r="O16" i="1"/>
  <c r="O12" i="1"/>
  <c r="O11" i="1"/>
  <c r="O39" i="1"/>
  <c r="O25" i="1"/>
  <c r="E71" i="1"/>
  <c r="O65" i="1"/>
  <c r="B23" i="2"/>
  <c r="O69" i="1"/>
  <c r="I67" i="1"/>
  <c r="G67" i="1"/>
  <c r="B67" i="1"/>
  <c r="N75" i="1"/>
  <c r="M75" i="1"/>
  <c r="L75" i="1"/>
  <c r="J75" i="1"/>
  <c r="H75" i="1"/>
  <c r="N44" i="1"/>
  <c r="N77" i="1" s="1"/>
  <c r="M44" i="1"/>
  <c r="L44" i="1"/>
  <c r="K44" i="1"/>
  <c r="H44" i="1"/>
  <c r="N17" i="1"/>
  <c r="E57" i="1"/>
  <c r="E40" i="1"/>
  <c r="D29" i="1"/>
  <c r="D17" i="1"/>
  <c r="D59" i="1"/>
  <c r="D20" i="1"/>
  <c r="D57" i="1"/>
  <c r="D74" i="1"/>
  <c r="O74" i="1"/>
  <c r="O60" i="1"/>
  <c r="D31" i="1"/>
  <c r="D52" i="1"/>
  <c r="O52" i="1"/>
  <c r="D50" i="1"/>
  <c r="O50" i="1"/>
  <c r="D48" i="1"/>
  <c r="O48" i="1"/>
  <c r="D47" i="1"/>
  <c r="O47" i="1"/>
  <c r="D46" i="1"/>
  <c r="D43" i="1"/>
  <c r="D42" i="1"/>
  <c r="O34" i="1"/>
  <c r="D32" i="1"/>
  <c r="O32" i="1"/>
  <c r="D30" i="1"/>
  <c r="O30" i="1"/>
  <c r="D27" i="1"/>
  <c r="D75" i="1"/>
  <c r="O23" i="1"/>
  <c r="O22" i="1"/>
  <c r="C7" i="1"/>
  <c r="C17" i="1" s="1"/>
  <c r="B7" i="1"/>
  <c r="O7" i="1" s="1"/>
  <c r="C72" i="1"/>
  <c r="C71" i="1"/>
  <c r="C75" i="1" s="1"/>
  <c r="O59" i="1"/>
  <c r="C56" i="1"/>
  <c r="O56" i="1"/>
  <c r="C46" i="1"/>
  <c r="C43" i="1"/>
  <c r="C44" i="1" s="1"/>
  <c r="C42" i="1"/>
  <c r="C34" i="1"/>
  <c r="C31" i="1"/>
  <c r="O31" i="1" s="1"/>
  <c r="C28" i="1"/>
  <c r="C26" i="1"/>
  <c r="O26" i="1"/>
  <c r="C24" i="1"/>
  <c r="O21" i="1"/>
  <c r="C20" i="1"/>
  <c r="C40" i="1" s="1"/>
  <c r="B71" i="1"/>
  <c r="O71" i="1" s="1"/>
  <c r="B44" i="1"/>
  <c r="B24" i="1"/>
  <c r="O24" i="1" s="1"/>
  <c r="B20" i="1"/>
  <c r="B75" i="1"/>
  <c r="K55" i="6" l="1"/>
  <c r="O20" i="1"/>
  <c r="H17" i="1"/>
  <c r="L77" i="1"/>
  <c r="O27" i="1"/>
  <c r="O36" i="1"/>
  <c r="J77" i="1"/>
  <c r="B17" i="1"/>
  <c r="B18" i="1" s="1"/>
  <c r="C67" i="1"/>
  <c r="C77" i="1" s="1"/>
  <c r="O43" i="1"/>
  <c r="O57" i="1"/>
  <c r="H67" i="1"/>
  <c r="O9" i="1"/>
  <c r="I17" i="1"/>
  <c r="B40" i="1"/>
  <c r="B77" i="1" s="1"/>
  <c r="B78" i="1" s="1"/>
  <c r="C5" i="1" s="1"/>
  <c r="C18" i="1" s="1"/>
  <c r="O42" i="1"/>
  <c r="O10" i="1"/>
  <c r="O28" i="1"/>
  <c r="D40" i="1"/>
  <c r="E75" i="1"/>
  <c r="G44" i="1"/>
  <c r="G77" i="1" s="1"/>
  <c r="O15" i="1"/>
  <c r="O17" i="1" s="1"/>
  <c r="H40" i="1"/>
  <c r="H77" i="1" s="1"/>
  <c r="I75" i="1"/>
  <c r="I77" i="1" s="1"/>
  <c r="K17" i="1"/>
  <c r="L17" i="1"/>
  <c r="M40" i="1"/>
  <c r="M77" i="1" s="1"/>
  <c r="O75" i="1"/>
  <c r="K77" i="1"/>
  <c r="O40" i="1"/>
  <c r="F77" i="1"/>
  <c r="F78" i="1" s="1"/>
  <c r="O46" i="1"/>
  <c r="E67" i="1"/>
  <c r="E77" i="1" s="1"/>
  <c r="E78" i="1" s="1"/>
  <c r="O64" i="1"/>
  <c r="D44" i="1"/>
  <c r="L3" i="6" l="1"/>
  <c r="L13" i="6" s="1"/>
  <c r="K62" i="6"/>
  <c r="K63" i="6" s="1"/>
  <c r="C78" i="1"/>
  <c r="D5" i="1" s="1"/>
  <c r="O44" i="1"/>
  <c r="E80" i="1"/>
  <c r="G5" i="1"/>
  <c r="G18" i="1" s="1"/>
  <c r="G78" i="1" s="1"/>
  <c r="H5" i="1" s="1"/>
  <c r="H18" i="1" s="1"/>
  <c r="H78" i="1" s="1"/>
  <c r="I5" i="1" s="1"/>
  <c r="I18" i="1" s="1"/>
  <c r="I78" i="1" s="1"/>
  <c r="F83" i="1"/>
  <c r="M13" i="6" l="1"/>
  <c r="M55" i="6" s="1"/>
  <c r="L62" i="6"/>
  <c r="D18" i="1"/>
  <c r="D53" i="1" s="1"/>
  <c r="I81" i="1"/>
  <c r="J5" i="1"/>
  <c r="J18" i="1" s="1"/>
  <c r="J78" i="1" s="1"/>
  <c r="D54" i="1" l="1"/>
  <c r="O54" i="1" s="1"/>
  <c r="O53" i="1"/>
  <c r="O67" i="1" s="1"/>
  <c r="O77" i="1" s="1"/>
  <c r="D67" i="1"/>
  <c r="D77" i="1" s="1"/>
  <c r="D78" i="1" s="1"/>
  <c r="D82" i="1" s="1"/>
  <c r="J81" i="1"/>
  <c r="K5" i="1"/>
  <c r="K18" i="1" s="1"/>
  <c r="K78" i="1" s="1"/>
  <c r="J82" i="1"/>
  <c r="K81" i="1" l="1"/>
  <c r="L5" i="1"/>
  <c r="L18" i="1" s="1"/>
  <c r="L78" i="1" s="1"/>
  <c r="L83" i="1" l="1"/>
  <c r="M5" i="1"/>
  <c r="M18" i="1" s="1"/>
  <c r="M78" i="1" s="1"/>
  <c r="N5" i="1" l="1"/>
  <c r="N18" i="1" s="1"/>
  <c r="N78" i="1" s="1"/>
  <c r="O5" i="1" s="1"/>
  <c r="O18" i="1" s="1"/>
  <c r="O78" i="1" s="1"/>
</calcChain>
</file>

<file path=xl/comments1.xml><?xml version="1.0" encoding="utf-8"?>
<comments xmlns="http://schemas.openxmlformats.org/spreadsheetml/2006/main">
  <authors>
    <author>TESORERIA</author>
  </authors>
  <commentList>
    <comment ref="B13" authorId="0" shapeId="0">
      <text>
        <r>
          <rPr>
            <b/>
            <sz val="9"/>
            <color indexed="81"/>
            <rFont val="Tahoma"/>
            <family val="2"/>
          </rPr>
          <t>TESORERIA:</t>
        </r>
        <r>
          <rPr>
            <sz val="9"/>
            <color indexed="81"/>
            <rFont val="Tahoma"/>
            <family val="2"/>
          </rPr>
          <t xml:space="preserve">
DEVOLUCION DIAN</t>
        </r>
      </text>
    </comment>
    <comment ref="C13" authorId="0" shapeId="0">
      <text>
        <r>
          <rPr>
            <b/>
            <sz val="9"/>
            <color indexed="81"/>
            <rFont val="Tahoma"/>
            <family val="2"/>
          </rPr>
          <t>TESORERIA:</t>
        </r>
        <r>
          <rPr>
            <sz val="9"/>
            <color indexed="81"/>
            <rFont val="Tahoma"/>
            <family val="2"/>
          </rPr>
          <t xml:space="preserve">
EMBARGO</t>
        </r>
      </text>
    </comment>
    <comment ref="B14" authorId="0" shapeId="0">
      <text>
        <r>
          <rPr>
            <b/>
            <sz val="9"/>
            <color indexed="81"/>
            <rFont val="Tahoma"/>
            <family val="2"/>
          </rPr>
          <t>TESORERIA:</t>
        </r>
        <r>
          <rPr>
            <sz val="9"/>
            <color indexed="81"/>
            <rFont val="Tahoma"/>
            <family val="2"/>
          </rPr>
          <t xml:space="preserve">
DEVOLUCION DIAN</t>
        </r>
      </text>
    </comment>
    <comment ref="C14" authorId="0" shapeId="0">
      <text>
        <r>
          <rPr>
            <b/>
            <sz val="9"/>
            <color indexed="81"/>
            <rFont val="Tahoma"/>
            <family val="2"/>
          </rPr>
          <t>TESORERIA:</t>
        </r>
        <r>
          <rPr>
            <sz val="9"/>
            <color indexed="81"/>
            <rFont val="Tahoma"/>
            <family val="2"/>
          </rPr>
          <t xml:space="preserve">
EMBARGO</t>
        </r>
      </text>
    </comment>
    <comment ref="B16" authorId="0" shapeId="0">
      <text>
        <r>
          <rPr>
            <b/>
            <sz val="9"/>
            <color indexed="81"/>
            <rFont val="Tahoma"/>
            <family val="2"/>
          </rPr>
          <t>TESORERIA:</t>
        </r>
        <r>
          <rPr>
            <sz val="9"/>
            <color indexed="81"/>
            <rFont val="Tahoma"/>
            <family val="2"/>
          </rPr>
          <t xml:space="preserve">
DEVOLUCION DIAN</t>
        </r>
      </text>
    </comment>
    <comment ref="C16" authorId="0" shapeId="0">
      <text>
        <r>
          <rPr>
            <b/>
            <sz val="9"/>
            <color indexed="81"/>
            <rFont val="Tahoma"/>
            <family val="2"/>
          </rPr>
          <t>TESORERIA:</t>
        </r>
        <r>
          <rPr>
            <sz val="9"/>
            <color indexed="81"/>
            <rFont val="Tahoma"/>
            <family val="2"/>
          </rPr>
          <t xml:space="preserve">
EMBARGO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TESORERIA:</t>
        </r>
        <r>
          <rPr>
            <sz val="9"/>
            <color indexed="81"/>
            <rFont val="Tahoma"/>
            <family val="2"/>
          </rPr>
          <t xml:space="preserve">
AUXILIO EDUCATIVO</t>
        </r>
      </text>
    </comment>
    <comment ref="E27" authorId="0" shapeId="0">
      <text>
        <r>
          <rPr>
            <b/>
            <sz val="9"/>
            <color indexed="81"/>
            <rFont val="Tahoma"/>
            <family val="2"/>
          </rPr>
          <t>TESORERIA:</t>
        </r>
        <r>
          <rPr>
            <sz val="9"/>
            <color indexed="81"/>
            <rFont val="Tahoma"/>
            <family val="2"/>
          </rPr>
          <t xml:space="preserve">
ACREEDORES</t>
        </r>
      </text>
    </comment>
    <comment ref="D30" authorId="0" shapeId="0">
      <text>
        <r>
          <rPr>
            <b/>
            <sz val="9"/>
            <color indexed="81"/>
            <rFont val="Tahoma"/>
            <family val="2"/>
          </rPr>
          <t>TESORERIA:</t>
        </r>
        <r>
          <rPr>
            <sz val="9"/>
            <color indexed="81"/>
            <rFont val="Tahoma"/>
            <family val="2"/>
          </rPr>
          <t xml:space="preserve">
CORTE Y RECONECCION
CARATERIZACION CORPONOR</t>
        </r>
      </text>
    </comment>
    <comment ref="C47" authorId="0" shapeId="0">
      <text>
        <r>
          <rPr>
            <b/>
            <sz val="9"/>
            <color indexed="81"/>
            <rFont val="Tahoma"/>
            <family val="2"/>
          </rPr>
          <t>TESORERIA:</t>
        </r>
        <r>
          <rPr>
            <sz val="9"/>
            <color indexed="81"/>
            <rFont val="Tahoma"/>
            <family val="2"/>
          </rPr>
          <t xml:space="preserve">
COMPRA DE MEDIDORES</t>
        </r>
      </text>
    </comment>
    <comment ref="E47" authorId="0" shapeId="0">
      <text>
        <r>
          <rPr>
            <b/>
            <sz val="9"/>
            <color indexed="81"/>
            <rFont val="Tahoma"/>
            <family val="2"/>
          </rPr>
          <t xml:space="preserve">TESORERIA:
</t>
        </r>
        <r>
          <rPr>
            <sz val="9"/>
            <color indexed="81"/>
            <rFont val="Tahoma"/>
            <family val="2"/>
          </rPr>
          <t xml:space="preserve">
COMPRA DE ELECTROBOMBA</t>
        </r>
      </text>
    </comment>
    <comment ref="C51" authorId="0" shapeId="0">
      <text>
        <r>
          <rPr>
            <b/>
            <sz val="9"/>
            <color indexed="81"/>
            <rFont val="Tahoma"/>
            <family val="2"/>
          </rPr>
          <t>TESORERIA:</t>
        </r>
        <r>
          <rPr>
            <sz val="9"/>
            <color indexed="81"/>
            <rFont val="Tahoma"/>
            <family val="2"/>
          </rPr>
          <t xml:space="preserve">
MANTENIMIENTO DE REDES INERNET</t>
        </r>
      </text>
    </comment>
    <comment ref="D55" authorId="0" shapeId="0">
      <text>
        <r>
          <rPr>
            <b/>
            <sz val="9"/>
            <color indexed="81"/>
            <rFont val="Tahoma"/>
            <family val="2"/>
          </rPr>
          <t>TESORERIA:</t>
        </r>
        <r>
          <rPr>
            <sz val="9"/>
            <color indexed="81"/>
            <rFont val="Tahoma"/>
            <family val="2"/>
          </rPr>
          <t xml:space="preserve">
MANTENIMIENTO Y DRAGADO</t>
        </r>
      </text>
    </comment>
    <comment ref="E55" authorId="0" shapeId="0">
      <text>
        <r>
          <rPr>
            <b/>
            <sz val="9"/>
            <color indexed="81"/>
            <rFont val="Tahoma"/>
            <family val="2"/>
          </rPr>
          <t>TESORERIA:</t>
        </r>
        <r>
          <rPr>
            <sz val="9"/>
            <color indexed="81"/>
            <rFont val="Tahoma"/>
            <family val="2"/>
          </rPr>
          <t xml:space="preserve">
ALQULIER DE RETROEXCAVADORA</t>
        </r>
      </text>
    </comment>
    <comment ref="D60" authorId="0" shapeId="0">
      <text>
        <r>
          <rPr>
            <b/>
            <sz val="9"/>
            <color indexed="81"/>
            <rFont val="Tahoma"/>
            <family val="2"/>
          </rPr>
          <t>TESORERIA:</t>
        </r>
        <r>
          <rPr>
            <sz val="9"/>
            <color indexed="81"/>
            <rFont val="Tahoma"/>
            <family val="2"/>
          </rPr>
          <t xml:space="preserve">
MANTENIMIENTO Y DRAGADO</t>
        </r>
      </text>
    </comment>
    <comment ref="G64" authorId="0" shapeId="0">
      <text>
        <r>
          <rPr>
            <b/>
            <sz val="9"/>
            <color indexed="81"/>
            <rFont val="Tahoma"/>
            <family val="2"/>
          </rPr>
          <t>TESORERIA:</t>
        </r>
        <r>
          <rPr>
            <sz val="9"/>
            <color indexed="81"/>
            <rFont val="Tahoma"/>
            <family val="2"/>
          </rPr>
          <t xml:space="preserve">
52.153.839 aqualia y 21.335.661 eicviro</t>
        </r>
      </text>
    </comment>
    <comment ref="C69" authorId="0" shapeId="0">
      <text>
        <r>
          <rPr>
            <b/>
            <sz val="9"/>
            <color indexed="81"/>
            <rFont val="Tahoma"/>
            <family val="2"/>
          </rPr>
          <t>TESORERIA:</t>
        </r>
        <r>
          <rPr>
            <sz val="9"/>
            <color indexed="81"/>
            <rFont val="Tahoma"/>
            <family val="2"/>
          </rPr>
          <t xml:space="preserve">
PAGOS SUPER</t>
        </r>
      </text>
    </comment>
    <comment ref="C73" authorId="0" shapeId="0">
      <text>
        <r>
          <rPr>
            <b/>
            <sz val="9"/>
            <color indexed="81"/>
            <rFont val="Tahoma"/>
            <family val="2"/>
          </rPr>
          <t>TESORERIA:</t>
        </r>
        <r>
          <rPr>
            <sz val="9"/>
            <color indexed="81"/>
            <rFont val="Tahoma"/>
            <family val="2"/>
          </rPr>
          <t xml:space="preserve">
PAGO ULTIMA CUOTA SUPER</t>
        </r>
      </text>
    </comment>
  </commentList>
</comments>
</file>

<file path=xl/comments2.xml><?xml version="1.0" encoding="utf-8"?>
<comments xmlns="http://schemas.openxmlformats.org/spreadsheetml/2006/main">
  <authors>
    <author>Maria Aelajandra Vargas</author>
  </authors>
  <commentList>
    <comment ref="O5" authorId="0" shapeId="0">
      <text>
        <r>
          <rPr>
            <b/>
            <sz val="9"/>
            <color indexed="81"/>
            <rFont val="Tahoma"/>
            <family val="2"/>
          </rPr>
          <t>Maria Aelajandra Vargas:</t>
        </r>
        <r>
          <rPr>
            <sz val="9"/>
            <color indexed="81"/>
            <rFont val="Tahoma"/>
            <family val="2"/>
          </rPr>
          <t xml:space="preserve">
cuotas atrasadas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Maria Aelajandra Vargas:</t>
        </r>
        <r>
          <rPr>
            <sz val="9"/>
            <color indexed="81"/>
            <rFont val="Tahoma"/>
            <family val="2"/>
          </rPr>
          <t xml:space="preserve">
contribucion SSPD 2017 Y 2018
</t>
        </r>
      </text>
    </comment>
  </commentList>
</comments>
</file>

<file path=xl/comments3.xml><?xml version="1.0" encoding="utf-8"?>
<comments xmlns="http://schemas.openxmlformats.org/spreadsheetml/2006/main">
  <authors>
    <author>Maria Aelajandra Vargas</author>
  </authors>
  <commentList>
    <comment ref="O5" authorId="0" shapeId="0">
      <text>
        <r>
          <rPr>
            <b/>
            <sz val="9"/>
            <color indexed="81"/>
            <rFont val="Tahoma"/>
            <family val="2"/>
          </rPr>
          <t>Maria Aelajandra Vargas:</t>
        </r>
        <r>
          <rPr>
            <sz val="9"/>
            <color indexed="81"/>
            <rFont val="Tahoma"/>
            <family val="2"/>
          </rPr>
          <t xml:space="preserve">
cuotas atrasadas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Maria Aelajandra Vargas:</t>
        </r>
        <r>
          <rPr>
            <sz val="9"/>
            <color indexed="81"/>
            <rFont val="Tahoma"/>
            <family val="2"/>
          </rPr>
          <t xml:space="preserve">
contribucion SSPD 2017 Y 2018
</t>
        </r>
      </text>
    </comment>
  </commentList>
</comments>
</file>

<file path=xl/comments4.xml><?xml version="1.0" encoding="utf-8"?>
<comments xmlns="http://schemas.openxmlformats.org/spreadsheetml/2006/main">
  <authors>
    <author>Maria Aelajandra Vargas</author>
  </authors>
  <commentList>
    <comment ref="O5" authorId="0" shapeId="0">
      <text>
        <r>
          <rPr>
            <b/>
            <sz val="9"/>
            <color indexed="81"/>
            <rFont val="Tahoma"/>
            <family val="2"/>
          </rPr>
          <t>Maria Aelajandra Vargas:</t>
        </r>
        <r>
          <rPr>
            <sz val="9"/>
            <color indexed="81"/>
            <rFont val="Tahoma"/>
            <family val="2"/>
          </rPr>
          <t xml:space="preserve">
cuotas atrasadas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Maria Aelajandra Vargas:</t>
        </r>
        <r>
          <rPr>
            <sz val="9"/>
            <color indexed="81"/>
            <rFont val="Tahoma"/>
            <family val="2"/>
          </rPr>
          <t xml:space="preserve">
contribucion SSPD 2017 Y 2018
</t>
        </r>
      </text>
    </comment>
  </commentList>
</comments>
</file>

<file path=xl/comments5.xml><?xml version="1.0" encoding="utf-8"?>
<comments xmlns="http://schemas.openxmlformats.org/spreadsheetml/2006/main">
  <authors>
    <author>Maria Aelajandra Vargas</author>
  </authors>
  <commentList>
    <comment ref="B35" authorId="0" shapeId="0">
      <text>
        <r>
          <rPr>
            <b/>
            <sz val="9"/>
            <color indexed="81"/>
            <rFont val="Tahoma"/>
            <family val="2"/>
          </rPr>
          <t>Maria Aelajandra Vargas:</t>
        </r>
        <r>
          <rPr>
            <sz val="9"/>
            <color indexed="81"/>
            <rFont val="Tahoma"/>
            <family val="2"/>
          </rPr>
          <t xml:space="preserve">
contribucion SSPD 2017 Y 2018
</t>
        </r>
      </text>
    </comment>
  </commentList>
</comments>
</file>

<file path=xl/sharedStrings.xml><?xml version="1.0" encoding="utf-8"?>
<sst xmlns="http://schemas.openxmlformats.org/spreadsheetml/2006/main" count="417" uniqueCount="199">
  <si>
    <t>CONCEPTOS</t>
  </si>
  <si>
    <t xml:space="preserve">ENERO 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</si>
  <si>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</si>
  <si>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</si>
  <si>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</si>
  <si>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</si>
  <si>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</si>
  <si>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</si>
  <si>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</si>
  <si>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</si>
  <si>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</si>
  <si>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</si>
  <si>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</si>
  <si>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</si>
  <si>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SALDO INICIAL</t>
  </si>
  <si>
    <t>INGRESOS</t>
  </si>
  <si>
    <t xml:space="preserve">OPERACIONALES </t>
  </si>
  <si>
    <t>SUBSIDIOS</t>
  </si>
  <si>
    <t>CREDITOS Y/O CONVENIOS Y OTROS</t>
  </si>
  <si>
    <t>TOTAL  INGRESOS DEL MES</t>
  </si>
  <si>
    <t>TOTAL DE SALDOS INICIALES MAS ING DEL MES</t>
  </si>
  <si>
    <t>GASTOS ADMINISTRATIVOS</t>
  </si>
  <si>
    <t>NOMINA</t>
  </si>
  <si>
    <t xml:space="preserve">CESANTIAS </t>
  </si>
  <si>
    <t>INT CESANTIAS</t>
  </si>
  <si>
    <t xml:space="preserve">SALUD - PESION </t>
  </si>
  <si>
    <t xml:space="preserve">PRIMA DE SERVICIOS - BONIFICACIONES Y AUXILIOS </t>
  </si>
  <si>
    <t xml:space="preserve">LIQUIDACIONES </t>
  </si>
  <si>
    <t>LIBRANZAS Y DESCUENTOS DE NOMINA</t>
  </si>
  <si>
    <t>HONORARIOS AGENTE ESPECIAL Y CONTRALOR DELEGADO POR SSPD</t>
  </si>
  <si>
    <t>PAGOS OPS</t>
  </si>
  <si>
    <t>ARRIENDO</t>
  </si>
  <si>
    <t>VIGILANCIA</t>
  </si>
  <si>
    <t>CAJA MENOR</t>
  </si>
  <si>
    <t>TOTAL GASTOS ADMINISTRATIVOS</t>
  </si>
  <si>
    <t xml:space="preserve">SERVICIOS PUBLICOS </t>
  </si>
  <si>
    <t>SERVICIOS TELEFONICO-INTERNET Y CORPORATIVOS</t>
  </si>
  <si>
    <t xml:space="preserve">TOTAL SERVICIOS PUBLICOS </t>
  </si>
  <si>
    <t xml:space="preserve">GASTOS OPERACIONALES </t>
  </si>
  <si>
    <t>SUMINISTROS QUIMICOS</t>
  </si>
  <si>
    <t>COMPRA DE MUEBLES   Y EQUIPOS</t>
  </si>
  <si>
    <t>SUMINISTROS DE PAPELERIA</t>
  </si>
  <si>
    <t>SUMINISTROS DE TONNERS - RECARGAS Y MANTE</t>
  </si>
  <si>
    <t>SUMINISTROS FERRETERIA</t>
  </si>
  <si>
    <t>SUMINISTROS FACTURAS</t>
  </si>
  <si>
    <t>COMPRA  DE PASAJES Y GASTOS DE VIAJE</t>
  </si>
  <si>
    <t>SERVICIOS PUBLICITARIOS Y COMUNICACIÓN</t>
  </si>
  <si>
    <t xml:space="preserve">ACTUALIZACION-ASESORIAS TNS </t>
  </si>
  <si>
    <t>RENOVACION CAMARA DE COMERCIO</t>
  </si>
  <si>
    <t>COMPRA DE AGUA EN BLOQUE ACUERDO</t>
  </si>
  <si>
    <t xml:space="preserve">TOTAL GASTOS OPERACIONALES </t>
  </si>
  <si>
    <t>VARIOS</t>
  </si>
  <si>
    <t>TASAS Y CONTRIBUCIONES ESPECIALES</t>
  </si>
  <si>
    <t>GASTOS FINANCIEROS</t>
  </si>
  <si>
    <t>TOTAL VARIOS</t>
  </si>
  <si>
    <t>TOTAL  EGRESOS</t>
  </si>
  <si>
    <t>SALDO FINAL</t>
  </si>
  <si>
    <t>IMPUESTOS DIAN-IMPUESTOS DEPARTAMENTALES Y MUNICIPALES</t>
  </si>
  <si>
    <t xml:space="preserve">  </t>
  </si>
  <si>
    <t>AUXILIOS DE RODAMIENTOS</t>
  </si>
  <si>
    <t>FLUJO DE CAJA 2020</t>
  </si>
  <si>
    <t>SUMINISTROS AROBASES-GIU - CANALETAS Y MOTOBOMBAS Y OTROS</t>
  </si>
  <si>
    <t xml:space="preserve"> </t>
  </si>
  <si>
    <t xml:space="preserve">EICVIRO ESP - NIT 800116625-4 </t>
  </si>
  <si>
    <t xml:space="preserve">NOMINA : </t>
  </si>
  <si>
    <t>PROYECCION 20200</t>
  </si>
  <si>
    <t>CONCEPTO</t>
  </si>
  <si>
    <t>Sueldo</t>
  </si>
  <si>
    <t>Aportes Sociales</t>
  </si>
  <si>
    <t>Honorarios Agente Especial</t>
  </si>
  <si>
    <t>Honorarios contralor</t>
  </si>
  <si>
    <t>Honorarios Jeisson</t>
  </si>
  <si>
    <t>Honorarios Rosa</t>
  </si>
  <si>
    <t>Honorarios Nidia</t>
  </si>
  <si>
    <t>Horas Asesoria TNS</t>
  </si>
  <si>
    <t>Comision Cobro Acualia</t>
  </si>
  <si>
    <t>OPS</t>
  </si>
  <si>
    <t>SERVICIOS PROFESIONALES - MAZAR</t>
  </si>
  <si>
    <t>Arriendo local archivo</t>
  </si>
  <si>
    <t>TASAS Y CONTRIBUCIONES</t>
  </si>
  <si>
    <t>Corponor Acuerdo pago</t>
  </si>
  <si>
    <t>Porcentaje Tasa Retributiva</t>
  </si>
  <si>
    <t>Super - Acuerdo pago</t>
  </si>
  <si>
    <t>CRA -Acuerdo por hacer</t>
  </si>
  <si>
    <t xml:space="preserve">Corponor Deuda </t>
  </si>
  <si>
    <t>RECUPERACION DE CARTERA - INGRESO CORRIENTE</t>
  </si>
  <si>
    <t>COMISION COBRO CARTERA AQUALIA</t>
  </si>
  <si>
    <t>PARTICIPACION SOBRE INGRESOS DE  AQUALIA</t>
  </si>
  <si>
    <t>VACACIONES - PRIMA VACACIONES</t>
  </si>
  <si>
    <t>Honorarios Edwin</t>
  </si>
  <si>
    <t>FIDUCIA</t>
  </si>
  <si>
    <t>NO OPERACIONALES - Rendimientos</t>
  </si>
  <si>
    <t>ENERGIA– CENS      (ALUMBRADO PUBLICO 2018 A 2020)</t>
  </si>
  <si>
    <t>Abogado Zafra</t>
  </si>
  <si>
    <t>Hermes Marquez Juridico</t>
  </si>
  <si>
    <t>Miguel Lizcano - Financiero</t>
  </si>
  <si>
    <t>CUOTA FISCALIZACION - CONTRALORIA DPTAL,</t>
  </si>
  <si>
    <t>TRASLADOS BANCARIOS INTERNOS</t>
  </si>
  <si>
    <t>HOSTDIME - DERECHOS PLATAFORMA WEB</t>
  </si>
  <si>
    <t>CUENTAS PRETOMA</t>
  </si>
  <si>
    <t>COMISION FIDUCIARIA POPULAR</t>
  </si>
  <si>
    <t>CONTRATO MUTUO E IPC</t>
  </si>
  <si>
    <t>PAGO SERVICIOS AQUALIA</t>
  </si>
  <si>
    <t>CONSIGNACION RECAUDO EFECTY AQUALIA</t>
  </si>
  <si>
    <t>PAGO CUENTAS POR PAGAR( COOPECENSY COOGUSASIMALES)</t>
  </si>
  <si>
    <t>INGRESO CONVENIO INTERADMINISTRATIVO  ALCALDIA Y EICVIRO</t>
  </si>
  <si>
    <t>ARRENDAMIENTO DE MAQUINARIA-CONTRATO OBRA</t>
  </si>
  <si>
    <t>CONVENIO INTERADMINISTRATIVO ALCALDIA</t>
  </si>
  <si>
    <t>TRANSFERENCIA A EFECTY -DEVOLUCION RECAUDOS ABRIL</t>
  </si>
  <si>
    <t xml:space="preserve">SALDO DE BANCOS </t>
  </si>
  <si>
    <t>CUENTAS POR COBRAR AQUALIA - REEMBOLSO</t>
  </si>
  <si>
    <t>CONCILIACIONES JUDICIALES Y/O  ACUERDOS/CONVENIOS VERTIMIENTOS</t>
  </si>
  <si>
    <t>FLUJO DE CAJA MENSUAL EICVIRO E S P AÑO 2020</t>
  </si>
  <si>
    <t>CUOTA CONVENIO CORPONOR y/O tasa uso</t>
  </si>
  <si>
    <t>EL ANTERIOR FLUJO DE CAJA ESTA  A   20 DE NOVIEMBRE DE 2.020. CON SUS RESPECTIVOS INGRESOS Y EGRESOS .</t>
  </si>
  <si>
    <t xml:space="preserve">Recaudo de Cartera </t>
  </si>
  <si>
    <t xml:space="preserve">Pago mensual Acualia </t>
  </si>
  <si>
    <t xml:space="preserve">Rendimientos Financieros </t>
  </si>
  <si>
    <t xml:space="preserve">Deuda de subsisdios </t>
  </si>
  <si>
    <t>enero</t>
  </si>
  <si>
    <t>febrero</t>
  </si>
  <si>
    <t>Diciembre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</si>
  <si>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</si>
  <si>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</si>
  <si>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</si>
  <si>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</si>
  <si>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</si>
  <si>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</si>
  <si>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</si>
  <si>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</si>
  <si>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</si>
  <si>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</si>
  <si>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 xml:space="preserve">Saldo Incial </t>
  </si>
  <si>
    <t xml:space="preserve">Total Ingresos </t>
  </si>
  <si>
    <t xml:space="preserve">EGRESOS </t>
  </si>
  <si>
    <t xml:space="preserve">Honorarios </t>
  </si>
  <si>
    <t>Arriendo</t>
  </si>
  <si>
    <t xml:space="preserve">Caja menor </t>
  </si>
  <si>
    <t xml:space="preserve">Cuota convenio corpornor </t>
  </si>
  <si>
    <t xml:space="preserve">Comision Cobro cartera Acualia </t>
  </si>
  <si>
    <t>Elementos de Oficina</t>
  </si>
  <si>
    <t xml:space="preserve">Viaticos </t>
  </si>
  <si>
    <t xml:space="preserve">Comision Fiduciaria Popular </t>
  </si>
  <si>
    <t xml:space="preserve">Gastos Financieros </t>
  </si>
  <si>
    <t xml:space="preserve">Imprevistos </t>
  </si>
  <si>
    <t xml:space="preserve">Total Gastos </t>
  </si>
  <si>
    <t>Servicios Profesionales- MAZAR.</t>
  </si>
  <si>
    <t xml:space="preserve">Renovacion Camara de comercio </t>
  </si>
  <si>
    <t>Financiero</t>
  </si>
  <si>
    <t>Elaboracion declaracion de renta y solicitud saldo</t>
  </si>
  <si>
    <t>Pago cuentas Pretoma y Postoma</t>
  </si>
  <si>
    <t>Contribuciones,  CRA</t>
  </si>
  <si>
    <t>Contribuciones,  Superservicios</t>
  </si>
  <si>
    <t>Ingreso por tasa de vertimiento y uso</t>
  </si>
  <si>
    <t>Cuota Fiscalización Contraloria Dptal</t>
  </si>
  <si>
    <t>Poliza de seguros</t>
  </si>
  <si>
    <t xml:space="preserve">Impuesto alumbrado publico </t>
  </si>
  <si>
    <t>Alcaldia - estratificacion-predial</t>
  </si>
  <si>
    <t>SERVICIO A LA DEUDA</t>
  </si>
  <si>
    <t>CONRATO MUTUO  100</t>
  </si>
  <si>
    <t>CONRATO MUTUO  102</t>
  </si>
  <si>
    <t>CONTRATO MUTUO 138</t>
  </si>
  <si>
    <t>IPC MUTUOS</t>
  </si>
  <si>
    <t>CONVENIOS INETRADMINISTRATIVOS</t>
  </si>
  <si>
    <t>CONTRATO SUBSIDIOS Y ASOCIADOS</t>
  </si>
  <si>
    <t>INGRESO CONTRATO DE OPERACION072</t>
  </si>
  <si>
    <t>PAGO PRETOMA</t>
  </si>
  <si>
    <t xml:space="preserve">ACTUALIZACION-ASESORIAS TNS Software y Harware </t>
  </si>
  <si>
    <t>Tasa Retributiva y Tasa por uso Coponor 2020-2021</t>
  </si>
  <si>
    <t>Impuesto Nacional(retenfuente, reteiva)</t>
  </si>
  <si>
    <t xml:space="preserve">Impuesto Municipal (Predial, reteica) </t>
  </si>
  <si>
    <t>Servicios Pùblicos (internet, energia)</t>
  </si>
  <si>
    <t>reembolso servicios aqualia</t>
  </si>
  <si>
    <t>reembolso gasto financieros de Aqualia.</t>
  </si>
  <si>
    <t>FLUJO DE CAJA  DE EICVIRO E S P NIT 8001166254  AÑO 2021</t>
  </si>
  <si>
    <t>impuesto gobernacion estampilla prohospital</t>
  </si>
  <si>
    <t>Saldo en caja  incluyendo la fiducia</t>
  </si>
  <si>
    <t>Saldo en caja  incluyendo la fidupopular.</t>
  </si>
  <si>
    <t>18 DE FEBRERO. 2021</t>
  </si>
  <si>
    <t>SALDO FIDUPOPULAR</t>
  </si>
  <si>
    <t>Imprevistos ( PERIODICO LA OPINION).</t>
  </si>
  <si>
    <t>TOTAL BANCO MAS FIDUCIARIA</t>
  </si>
  <si>
    <t xml:space="preserve">Saldo en caja  </t>
  </si>
  <si>
    <t>28 DE FEBRERO. 2021</t>
  </si>
  <si>
    <t>rendimiento financiero. Fidupopular</t>
  </si>
  <si>
    <t>Deuda de subsisdios y otros ingresos</t>
  </si>
  <si>
    <t>ABRIL 16 DE 2021</t>
  </si>
  <si>
    <t>Arriendo Archivo</t>
  </si>
  <si>
    <t>INGRESO POR CONVENIO No 001-2021</t>
  </si>
  <si>
    <t>otros ingresos</t>
  </si>
  <si>
    <t xml:space="preserve">Contrato consultoria  021 2021 </t>
  </si>
  <si>
    <t>ENERO</t>
  </si>
  <si>
    <t xml:space="preserve">JULIO </t>
  </si>
  <si>
    <t xml:space="preserve">NOVIEMBRE </t>
  </si>
  <si>
    <t>CONVE SALDO</t>
  </si>
  <si>
    <t>TOTAL BANCO + SALDO FIDUCIA</t>
  </si>
  <si>
    <t>Deuda de subsisdios y otros ingresos (devolucion DIAN)</t>
  </si>
  <si>
    <t>TOTAL BANCO+FIDUCIA +CONVENIO</t>
  </si>
  <si>
    <t>31 de DICIEMBRE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</si>
</sst>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1" formatCode="_-* #,##0_-;\-* #,##0_-;_-* &quot;-&quot;_-;_-@_-"/>
    <numFmt numFmtId="43" formatCode="_-* #,##0.00_-;\-* #,##0.00_-;_-* &quot;-&quot;??_-;_-@_-"/>
    <numFmt numFmtId="164" formatCode="#,###"/>
    <numFmt numFmtId="165" formatCode="_(* #,##0_);_(* \(#,##0\);_(* &quot;-&quot;??_);_(@_)"/>
    <numFmt numFmtId="166" formatCode="#,##0.00000000000"/>
    <numFmt numFmtId="167" formatCode="#,###.00"/>
    <numFmt numFmtId="168" formatCode="_-* #,##0.00_-;\-* #,##0.00_-;_-* &quot;-&quot;_-;_-@_-"/>
    <numFmt numFmtId="169" formatCode="_-* #,##0_-;\-* #,##0_-;_-* &quot;-&quot;??_-;_-@_-"/>
    <numFmt numFmtId="170" formatCode="_-* #,##0.00\ _$_-;\-* #,##0.00\ _$_-;_-* &quot;-&quot;??\ _$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FF0000"/>
      <name val="Calibri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00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05">
    <xf numFmtId="0" fontId="0" fillId="0" borderId="0" xfId="0"/>
    <xf numFmtId="0" fontId="4" fillId="0" borderId="1" xfId="3" applyFont="1" applyBorder="1"/>
    <xf numFmtId="0" fontId="2" fillId="0" borderId="1" xfId="0" applyFont="1" applyBorder="1"/>
    <xf numFmtId="164" fontId="5" fillId="0" borderId="1" xfId="1" applyNumberFormat="1" applyFont="1" applyBorder="1"/>
    <xf numFmtId="164" fontId="5" fillId="0" borderId="1" xfId="3" applyNumberFormat="1" applyFont="1" applyBorder="1"/>
    <xf numFmtId="164" fontId="4" fillId="0" borderId="1" xfId="1" applyNumberFormat="1" applyFont="1" applyBorder="1"/>
    <xf numFmtId="164" fontId="4" fillId="0" borderId="1" xfId="3" applyNumberFormat="1" applyFont="1" applyBorder="1"/>
    <xf numFmtId="164" fontId="5" fillId="0" borderId="1" xfId="0" applyNumberFormat="1" applyFont="1" applyBorder="1"/>
    <xf numFmtId="164" fontId="5" fillId="2" borderId="1" xfId="1" applyNumberFormat="1" applyFont="1" applyFill="1" applyBorder="1"/>
    <xf numFmtId="164" fontId="5" fillId="0" borderId="1" xfId="0" applyNumberFormat="1" applyFont="1" applyBorder="1" applyAlignment="1">
      <alignment vertical="top"/>
    </xf>
    <xf numFmtId="164" fontId="5" fillId="0" borderId="1" xfId="1" applyNumberFormat="1" applyFont="1" applyBorder="1" applyAlignment="1">
      <alignment horizontal="right"/>
    </xf>
    <xf numFmtId="41" fontId="0" fillId="0" borderId="0" xfId="2" applyFont="1"/>
    <xf numFmtId="164" fontId="5" fillId="2" borderId="1" xfId="0" applyNumberFormat="1" applyFont="1" applyFill="1" applyBorder="1"/>
    <xf numFmtId="41" fontId="0" fillId="0" borderId="1" xfId="2" applyFont="1" applyBorder="1"/>
    <xf numFmtId="164" fontId="4" fillId="2" borderId="1" xfId="1" applyNumberFormat="1" applyFont="1" applyFill="1" applyBorder="1"/>
    <xf numFmtId="0" fontId="4" fillId="0" borderId="1" xfId="0" applyFont="1" applyBorder="1"/>
    <xf numFmtId="0" fontId="4" fillId="2" borderId="1" xfId="0" applyFont="1" applyFill="1" applyBorder="1"/>
    <xf numFmtId="0" fontId="4" fillId="0" borderId="1" xfId="3" applyFont="1" applyFill="1" applyBorder="1"/>
    <xf numFmtId="164" fontId="5" fillId="0" borderId="1" xfId="1" applyNumberFormat="1" applyFont="1" applyFill="1" applyBorder="1"/>
    <xf numFmtId="164" fontId="4" fillId="0" borderId="1" xfId="1" applyNumberFormat="1" applyFont="1" applyFill="1" applyBorder="1"/>
    <xf numFmtId="164" fontId="4" fillId="0" borderId="1" xfId="3" applyNumberFormat="1" applyFont="1" applyFill="1" applyBorder="1"/>
    <xf numFmtId="41" fontId="5" fillId="0" borderId="1" xfId="2" applyNumberFormat="1" applyFont="1" applyFill="1" applyBorder="1"/>
    <xf numFmtId="3" fontId="4" fillId="0" borderId="1" xfId="3" applyNumberFormat="1" applyFont="1" applyBorder="1"/>
    <xf numFmtId="3" fontId="5" fillId="0" borderId="1" xfId="1" applyNumberFormat="1" applyFont="1" applyBorder="1"/>
    <xf numFmtId="3" fontId="5" fillId="0" borderId="1" xfId="0" applyNumberFormat="1" applyFont="1" applyBorder="1"/>
    <xf numFmtId="3" fontId="5" fillId="0" borderId="1" xfId="3" applyNumberFormat="1" applyFont="1" applyBorder="1"/>
    <xf numFmtId="3" fontId="5" fillId="2" borderId="1" xfId="0" applyNumberFormat="1" applyFont="1" applyFill="1" applyBorder="1"/>
    <xf numFmtId="3" fontId="5" fillId="2" borderId="1" xfId="1" applyNumberFormat="1" applyFont="1" applyFill="1" applyBorder="1"/>
    <xf numFmtId="3" fontId="4" fillId="2" borderId="1" xfId="0" applyNumberFormat="1" applyFont="1" applyFill="1" applyBorder="1"/>
    <xf numFmtId="164" fontId="4" fillId="0" borderId="1" xfId="3" applyNumberFormat="1" applyFont="1" applyBorder="1" applyAlignment="1">
      <alignment horizontal="center"/>
    </xf>
    <xf numFmtId="41" fontId="1" fillId="0" borderId="1" xfId="2" applyFont="1" applyFill="1" applyBorder="1"/>
    <xf numFmtId="0" fontId="0" fillId="3" borderId="1" xfId="0" applyFill="1" applyBorder="1" applyAlignment="1">
      <alignment wrapText="1"/>
    </xf>
    <xf numFmtId="49" fontId="0" fillId="3" borderId="1" xfId="0" applyNumberFormat="1" applyFill="1" applyBorder="1" applyAlignment="1">
      <alignment wrapText="1"/>
    </xf>
    <xf numFmtId="0" fontId="0" fillId="0" borderId="1" xfId="0" applyBorder="1"/>
    <xf numFmtId="41" fontId="0" fillId="3" borderId="1" xfId="2" applyFont="1" applyFill="1" applyBorder="1" applyAlignment="1">
      <alignment horizontal="center" wrapText="1"/>
    </xf>
    <xf numFmtId="41" fontId="0" fillId="0" borderId="1" xfId="2" applyFont="1" applyBorder="1" applyAlignment="1">
      <alignment wrapText="1"/>
    </xf>
    <xf numFmtId="41" fontId="2" fillId="0" borderId="1" xfId="2" applyFont="1" applyBorder="1"/>
    <xf numFmtId="0" fontId="4" fillId="0" borderId="1" xfId="3" applyFont="1" applyBorder="1" applyAlignment="1">
      <alignment horizontal="center"/>
    </xf>
    <xf numFmtId="0" fontId="4" fillId="0" borderId="1" xfId="3" applyFont="1" applyFill="1" applyBorder="1" applyAlignment="1">
      <alignment horizontal="center"/>
    </xf>
    <xf numFmtId="164" fontId="4" fillId="0" borderId="1" xfId="3" applyNumberFormat="1" applyFont="1" applyFill="1" applyBorder="1" applyAlignment="1">
      <alignment horizontal="center"/>
    </xf>
    <xf numFmtId="0" fontId="5" fillId="0" borderId="1" xfId="3" applyFont="1" applyBorder="1"/>
    <xf numFmtId="164" fontId="4" fillId="2" borderId="1" xfId="3" applyNumberFormat="1" applyFont="1" applyFill="1" applyBorder="1"/>
    <xf numFmtId="0" fontId="4" fillId="0" borderId="1" xfId="0" applyFont="1" applyBorder="1" applyAlignment="1">
      <alignment horizontal="center"/>
    </xf>
    <xf numFmtId="3" fontId="5" fillId="0" borderId="1" xfId="1" applyNumberFormat="1" applyFont="1" applyFill="1" applyBorder="1"/>
    <xf numFmtId="3" fontId="5" fillId="0" borderId="1" xfId="0" applyNumberFormat="1" applyFont="1" applyFill="1" applyBorder="1"/>
    <xf numFmtId="3" fontId="4" fillId="0" borderId="1" xfId="1" applyNumberFormat="1" applyFont="1" applyFill="1" applyBorder="1"/>
    <xf numFmtId="3" fontId="4" fillId="0" borderId="1" xfId="2" applyNumberFormat="1" applyFont="1" applyFill="1" applyBorder="1"/>
    <xf numFmtId="3" fontId="4" fillId="2" borderId="1" xfId="1" applyNumberFormat="1" applyFont="1" applyFill="1" applyBorder="1"/>
    <xf numFmtId="3" fontId="4" fillId="0" borderId="1" xfId="1" applyNumberFormat="1" applyFont="1" applyBorder="1"/>
    <xf numFmtId="0" fontId="5" fillId="2" borderId="1" xfId="3" applyFont="1" applyFill="1" applyBorder="1"/>
    <xf numFmtId="0" fontId="1" fillId="0" borderId="1" xfId="0" applyFont="1" applyBorder="1"/>
    <xf numFmtId="41" fontId="1" fillId="0" borderId="1" xfId="2" applyFont="1" applyBorder="1"/>
    <xf numFmtId="165" fontId="1" fillId="0" borderId="1" xfId="0" applyNumberFormat="1" applyFont="1" applyBorder="1"/>
    <xf numFmtId="3" fontId="1" fillId="0" borderId="1" xfId="0" applyNumberFormat="1" applyFont="1" applyBorder="1"/>
    <xf numFmtId="164" fontId="1" fillId="0" borderId="1" xfId="0" applyNumberFormat="1" applyFont="1" applyBorder="1"/>
    <xf numFmtId="43" fontId="1" fillId="0" borderId="1" xfId="1" applyFont="1" applyBorder="1"/>
    <xf numFmtId="3" fontId="1" fillId="0" borderId="1" xfId="0" applyNumberFormat="1" applyFont="1" applyFill="1" applyBorder="1"/>
    <xf numFmtId="41" fontId="1" fillId="0" borderId="1" xfId="2" applyNumberFormat="1" applyFont="1" applyFill="1" applyBorder="1"/>
    <xf numFmtId="0" fontId="1" fillId="0" borderId="1" xfId="0" applyFont="1" applyFill="1" applyBorder="1"/>
    <xf numFmtId="0" fontId="1" fillId="5" borderId="1" xfId="0" applyFont="1" applyFill="1" applyBorder="1"/>
    <xf numFmtId="41" fontId="5" fillId="0" borderId="1" xfId="2" applyFont="1" applyBorder="1"/>
    <xf numFmtId="166" fontId="1" fillId="0" borderId="1" xfId="0" applyNumberFormat="1" applyFont="1" applyBorder="1"/>
    <xf numFmtId="41" fontId="5" fillId="4" borderId="1" xfId="2" applyNumberFormat="1" applyFont="1" applyFill="1" applyBorder="1"/>
    <xf numFmtId="3" fontId="1" fillId="4" borderId="1" xfId="0" applyNumberFormat="1" applyFont="1" applyFill="1" applyBorder="1"/>
    <xf numFmtId="41" fontId="1" fillId="4" borderId="1" xfId="2" applyFont="1" applyFill="1" applyBorder="1"/>
    <xf numFmtId="41" fontId="1" fillId="4" borderId="1" xfId="2" applyNumberFormat="1" applyFont="1" applyFill="1" applyBorder="1"/>
    <xf numFmtId="41" fontId="5" fillId="4" borderId="1" xfId="2" applyFont="1" applyFill="1" applyBorder="1"/>
    <xf numFmtId="164" fontId="5" fillId="4" borderId="1" xfId="1" applyNumberFormat="1" applyFont="1" applyFill="1" applyBorder="1"/>
    <xf numFmtId="3" fontId="5" fillId="4" borderId="1" xfId="1" applyNumberFormat="1" applyFont="1" applyFill="1" applyBorder="1"/>
    <xf numFmtId="0" fontId="5" fillId="0" borderId="1" xfId="3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5" fillId="2" borderId="1" xfId="3" applyFont="1" applyFill="1" applyBorder="1" applyAlignment="1">
      <alignment wrapText="1"/>
    </xf>
    <xf numFmtId="3" fontId="5" fillId="6" borderId="1" xfId="1" applyNumberFormat="1" applyFont="1" applyFill="1" applyBorder="1"/>
    <xf numFmtId="164" fontId="5" fillId="6" borderId="1" xfId="1" applyNumberFormat="1" applyFont="1" applyFill="1" applyBorder="1"/>
    <xf numFmtId="3" fontId="1" fillId="6" borderId="1" xfId="0" applyNumberFormat="1" applyFont="1" applyFill="1" applyBorder="1"/>
    <xf numFmtId="41" fontId="1" fillId="6" borderId="1" xfId="2" applyNumberFormat="1" applyFont="1" applyFill="1" applyBorder="1"/>
    <xf numFmtId="41" fontId="5" fillId="6" borderId="1" xfId="2" applyNumberFormat="1" applyFont="1" applyFill="1" applyBorder="1"/>
    <xf numFmtId="167" fontId="4" fillId="0" borderId="1" xfId="1" applyNumberFormat="1" applyFont="1" applyBorder="1"/>
    <xf numFmtId="168" fontId="4" fillId="0" borderId="1" xfId="2" applyNumberFormat="1" applyFont="1" applyFill="1" applyBorder="1"/>
    <xf numFmtId="167" fontId="4" fillId="2" borderId="1" xfId="1" applyNumberFormat="1" applyFont="1" applyFill="1" applyBorder="1"/>
    <xf numFmtId="168" fontId="1" fillId="0" borderId="1" xfId="2" applyNumberFormat="1" applyFont="1" applyBorder="1"/>
    <xf numFmtId="43" fontId="1" fillId="0" borderId="1" xfId="0" applyNumberFormat="1" applyFont="1" applyBorder="1"/>
    <xf numFmtId="41" fontId="5" fillId="7" borderId="1" xfId="2" applyNumberFormat="1" applyFont="1" applyFill="1" applyBorder="1"/>
    <xf numFmtId="41" fontId="1" fillId="7" borderId="1" xfId="2" applyNumberFormat="1" applyFont="1" applyFill="1" applyBorder="1"/>
    <xf numFmtId="41" fontId="1" fillId="7" borderId="1" xfId="2" applyFont="1" applyFill="1" applyBorder="1"/>
    <xf numFmtId="3" fontId="5" fillId="7" borderId="1" xfId="1" applyNumberFormat="1" applyFont="1" applyFill="1" applyBorder="1"/>
    <xf numFmtId="168" fontId="8" fillId="0" borderId="1" xfId="2" applyNumberFormat="1" applyFont="1" applyBorder="1"/>
    <xf numFmtId="167" fontId="8" fillId="0" borderId="1" xfId="0" applyNumberFormat="1" applyFont="1" applyBorder="1"/>
    <xf numFmtId="167" fontId="5" fillId="0" borderId="1" xfId="1" applyNumberFormat="1" applyFont="1" applyBorder="1"/>
    <xf numFmtId="3" fontId="1" fillId="2" borderId="1" xfId="0" applyNumberFormat="1" applyFont="1" applyFill="1" applyBorder="1"/>
    <xf numFmtId="0" fontId="4" fillId="2" borderId="1" xfId="3" applyFont="1" applyFill="1" applyBorder="1" applyAlignment="1">
      <alignment horizontal="center"/>
    </xf>
    <xf numFmtId="164" fontId="4" fillId="2" borderId="1" xfId="3" applyNumberFormat="1" applyFont="1" applyFill="1" applyBorder="1" applyAlignment="1">
      <alignment horizontal="center"/>
    </xf>
    <xf numFmtId="0" fontId="4" fillId="2" borderId="1" xfId="3" applyFont="1" applyFill="1" applyBorder="1"/>
    <xf numFmtId="164" fontId="5" fillId="2" borderId="1" xfId="3" applyNumberFormat="1" applyFont="1" applyFill="1" applyBorder="1"/>
    <xf numFmtId="41" fontId="5" fillId="2" borderId="1" xfId="2" applyNumberFormat="1" applyFont="1" applyFill="1" applyBorder="1"/>
    <xf numFmtId="41" fontId="1" fillId="2" borderId="1" xfId="2" applyNumberFormat="1" applyFont="1" applyFill="1" applyBorder="1"/>
    <xf numFmtId="41" fontId="1" fillId="2" borderId="1" xfId="2" applyFont="1" applyFill="1" applyBorder="1"/>
    <xf numFmtId="0" fontId="1" fillId="2" borderId="1" xfId="0" applyFont="1" applyFill="1" applyBorder="1"/>
    <xf numFmtId="164" fontId="1" fillId="2" borderId="1" xfId="0" applyNumberFormat="1" applyFont="1" applyFill="1" applyBorder="1"/>
    <xf numFmtId="41" fontId="5" fillId="5" borderId="1" xfId="2" applyNumberFormat="1" applyFont="1" applyFill="1" applyBorder="1"/>
    <xf numFmtId="164" fontId="5" fillId="5" borderId="1" xfId="1" applyNumberFormat="1" applyFont="1" applyFill="1" applyBorder="1"/>
    <xf numFmtId="164" fontId="4" fillId="5" borderId="1" xfId="1" applyNumberFormat="1" applyFont="1" applyFill="1" applyBorder="1"/>
    <xf numFmtId="41" fontId="5" fillId="0" borderId="0" xfId="2" applyFont="1" applyBorder="1"/>
    <xf numFmtId="0" fontId="5" fillId="9" borderId="1" xfId="3" applyFont="1" applyFill="1" applyBorder="1"/>
    <xf numFmtId="41" fontId="0" fillId="0" borderId="0" xfId="0" applyNumberFormat="1"/>
    <xf numFmtId="43" fontId="0" fillId="0" borderId="0" xfId="0" applyNumberFormat="1"/>
    <xf numFmtId="43" fontId="0" fillId="0" borderId="0" xfId="1" applyFont="1"/>
    <xf numFmtId="0" fontId="2" fillId="0" borderId="1" xfId="0" applyFont="1" applyBorder="1" applyAlignment="1">
      <alignment horizontal="center"/>
    </xf>
    <xf numFmtId="41" fontId="0" fillId="0" borderId="1" xfId="2" applyFont="1" applyBorder="1" applyAlignment="1">
      <alignment horizontal="center"/>
    </xf>
    <xf numFmtId="41" fontId="0" fillId="0" borderId="1" xfId="0" applyNumberFormat="1" applyBorder="1"/>
    <xf numFmtId="0" fontId="2" fillId="8" borderId="1" xfId="0" applyFont="1" applyFill="1" applyBorder="1"/>
    <xf numFmtId="41" fontId="0" fillId="8" borderId="1" xfId="2" applyFont="1" applyFill="1" applyBorder="1"/>
    <xf numFmtId="0" fontId="0" fillId="0" borderId="1" xfId="0" applyFont="1" applyBorder="1"/>
    <xf numFmtId="41" fontId="0" fillId="5" borderId="1" xfId="2" applyFont="1" applyFill="1" applyBorder="1"/>
    <xf numFmtId="9" fontId="0" fillId="0" borderId="1" xfId="6" applyFont="1" applyBorder="1"/>
    <xf numFmtId="43" fontId="0" fillId="0" borderId="1" xfId="1" applyFont="1" applyBorder="1"/>
    <xf numFmtId="0" fontId="0" fillId="0" borderId="1" xfId="0" applyFont="1" applyFill="1" applyBorder="1"/>
    <xf numFmtId="169" fontId="0" fillId="0" borderId="1" xfId="0" applyNumberFormat="1" applyBorder="1"/>
    <xf numFmtId="169" fontId="0" fillId="0" borderId="1" xfId="1" applyNumberFormat="1" applyFont="1" applyBorder="1"/>
    <xf numFmtId="41" fontId="0" fillId="10" borderId="1" xfId="2" applyFont="1" applyFill="1" applyBorder="1"/>
    <xf numFmtId="0" fontId="0" fillId="11" borderId="0" xfId="0" applyFill="1"/>
    <xf numFmtId="169" fontId="0" fillId="2" borderId="1" xfId="0" applyNumberFormat="1" applyFill="1" applyBorder="1"/>
    <xf numFmtId="0" fontId="0" fillId="10" borderId="0" xfId="0" applyFill="1"/>
    <xf numFmtId="41" fontId="0" fillId="12" borderId="1" xfId="0" applyNumberFormat="1" applyFill="1" applyBorder="1"/>
    <xf numFmtId="41" fontId="0" fillId="10" borderId="1" xfId="0" applyNumberFormat="1" applyFill="1" applyBorder="1"/>
    <xf numFmtId="41" fontId="5" fillId="10" borderId="1" xfId="2" applyFont="1" applyFill="1" applyBorder="1"/>
    <xf numFmtId="169" fontId="0" fillId="10" borderId="1" xfId="0" applyNumberFormat="1" applyFill="1" applyBorder="1"/>
    <xf numFmtId="0" fontId="0" fillId="10" borderId="1" xfId="0" applyFill="1" applyBorder="1"/>
    <xf numFmtId="168" fontId="0" fillId="0" borderId="1" xfId="2" applyNumberFormat="1" applyFont="1" applyBorder="1"/>
    <xf numFmtId="168" fontId="0" fillId="10" borderId="1" xfId="2" applyNumberFormat="1" applyFont="1" applyFill="1" applyBorder="1"/>
    <xf numFmtId="43" fontId="0" fillId="10" borderId="1" xfId="0" applyNumberFormat="1" applyFill="1" applyBorder="1"/>
    <xf numFmtId="41" fontId="0" fillId="13" borderId="1" xfId="0" applyNumberFormat="1" applyFill="1" applyBorder="1"/>
    <xf numFmtId="41" fontId="0" fillId="0" borderId="1" xfId="6" applyNumberFormat="1" applyFont="1" applyBorder="1"/>
    <xf numFmtId="169" fontId="0" fillId="14" borderId="1" xfId="0" applyNumberFormat="1" applyFill="1" applyBorder="1"/>
    <xf numFmtId="41" fontId="0" fillId="14" borderId="0" xfId="2" applyFont="1" applyFill="1"/>
    <xf numFmtId="164" fontId="5" fillId="14" borderId="1" xfId="1" applyNumberFormat="1" applyFont="1" applyFill="1" applyBorder="1"/>
    <xf numFmtId="41" fontId="0" fillId="14" borderId="1" xfId="2" applyFont="1" applyFill="1" applyBorder="1"/>
    <xf numFmtId="164" fontId="5" fillId="14" borderId="1" xfId="0" applyNumberFormat="1" applyFont="1" applyFill="1" applyBorder="1"/>
    <xf numFmtId="168" fontId="0" fillId="14" borderId="1" xfId="2" applyNumberFormat="1" applyFont="1" applyFill="1" applyBorder="1"/>
    <xf numFmtId="41" fontId="0" fillId="14" borderId="1" xfId="2" applyFont="1" applyFill="1" applyBorder="1" applyAlignment="1">
      <alignment horizontal="center" wrapText="1"/>
    </xf>
    <xf numFmtId="164" fontId="4" fillId="14" borderId="1" xfId="3" applyNumberFormat="1" applyFont="1" applyFill="1" applyBorder="1" applyAlignment="1">
      <alignment horizontal="center"/>
    </xf>
    <xf numFmtId="43" fontId="0" fillId="14" borderId="1" xfId="0" applyNumberFormat="1" applyFill="1" applyBorder="1"/>
    <xf numFmtId="41" fontId="0" fillId="15" borderId="1" xfId="2" applyFont="1" applyFill="1" applyBorder="1"/>
    <xf numFmtId="41" fontId="0" fillId="15" borderId="0" xfId="2" applyFont="1" applyFill="1"/>
    <xf numFmtId="164" fontId="5" fillId="15" borderId="1" xfId="0" applyNumberFormat="1" applyFont="1" applyFill="1" applyBorder="1"/>
    <xf numFmtId="41" fontId="0" fillId="15" borderId="1" xfId="2" applyFont="1" applyFill="1" applyBorder="1" applyAlignment="1">
      <alignment wrapText="1"/>
    </xf>
    <xf numFmtId="164" fontId="4" fillId="15" borderId="1" xfId="3" applyNumberFormat="1" applyFont="1" applyFill="1" applyBorder="1"/>
    <xf numFmtId="49" fontId="0" fillId="0" borderId="0" xfId="2" applyNumberFormat="1" applyFont="1"/>
    <xf numFmtId="4" fontId="0" fillId="0" borderId="0" xfId="0" applyNumberFormat="1"/>
    <xf numFmtId="168" fontId="0" fillId="0" borderId="1" xfId="6" applyNumberFormat="1" applyFont="1" applyBorder="1"/>
    <xf numFmtId="43" fontId="0" fillId="0" borderId="1" xfId="0" applyNumberFormat="1" applyBorder="1"/>
    <xf numFmtId="168" fontId="0" fillId="0" borderId="1" xfId="2" applyNumberFormat="1" applyFont="1" applyBorder="1" applyAlignment="1">
      <alignment horizontal="center"/>
    </xf>
    <xf numFmtId="168" fontId="0" fillId="0" borderId="0" xfId="0" applyNumberFormat="1"/>
    <xf numFmtId="0" fontId="0" fillId="5" borderId="0" xfId="0" applyFill="1"/>
    <xf numFmtId="168" fontId="0" fillId="5" borderId="0" xfId="6" applyNumberFormat="1" applyFont="1" applyFill="1" applyBorder="1"/>
    <xf numFmtId="43" fontId="0" fillId="16" borderId="1" xfId="0" applyNumberFormat="1" applyFill="1" applyBorder="1"/>
    <xf numFmtId="41" fontId="0" fillId="16" borderId="1" xfId="2" applyFont="1" applyFill="1" applyBorder="1"/>
    <xf numFmtId="168" fontId="0" fillId="16" borderId="1" xfId="2" applyNumberFormat="1" applyFont="1" applyFill="1" applyBorder="1"/>
    <xf numFmtId="41" fontId="5" fillId="16" borderId="1" xfId="2" applyFont="1" applyFill="1" applyBorder="1"/>
    <xf numFmtId="168" fontId="0" fillId="8" borderId="1" xfId="2" applyNumberFormat="1" applyFont="1" applyFill="1" applyBorder="1"/>
    <xf numFmtId="41" fontId="0" fillId="4" borderId="1" xfId="2" applyFont="1" applyFill="1" applyBorder="1"/>
    <xf numFmtId="169" fontId="0" fillId="5" borderId="1" xfId="0" applyNumberFormat="1" applyFill="1" applyBorder="1"/>
    <xf numFmtId="168" fontId="0" fillId="5" borderId="1" xfId="2" applyNumberFormat="1" applyFont="1" applyFill="1" applyBorder="1"/>
    <xf numFmtId="41" fontId="5" fillId="5" borderId="1" xfId="2" applyFont="1" applyFill="1" applyBorder="1"/>
    <xf numFmtId="43" fontId="0" fillId="5" borderId="1" xfId="0" applyNumberFormat="1" applyFill="1" applyBorder="1"/>
    <xf numFmtId="43" fontId="10" fillId="0" borderId="1" xfId="0" applyNumberFormat="1" applyFont="1" applyBorder="1"/>
    <xf numFmtId="0" fontId="0" fillId="0" borderId="8" xfId="0" applyFill="1" applyBorder="1"/>
    <xf numFmtId="168" fontId="0" fillId="0" borderId="1" xfId="0" applyNumberFormat="1" applyBorder="1"/>
    <xf numFmtId="41" fontId="0" fillId="7" borderId="1" xfId="2" applyFont="1" applyFill="1" applyBorder="1"/>
    <xf numFmtId="43" fontId="0" fillId="7" borderId="1" xfId="0" applyNumberFormat="1" applyFill="1" applyBorder="1"/>
    <xf numFmtId="169" fontId="0" fillId="7" borderId="1" xfId="0" applyNumberFormat="1" applyFill="1" applyBorder="1"/>
    <xf numFmtId="41" fontId="5" fillId="7" borderId="1" xfId="2" applyFont="1" applyFill="1" applyBorder="1"/>
    <xf numFmtId="168" fontId="0" fillId="7" borderId="1" xfId="2" applyNumberFormat="1" applyFont="1" applyFill="1" applyBorder="1"/>
    <xf numFmtId="41" fontId="0" fillId="17" borderId="1" xfId="2" applyFont="1" applyFill="1" applyBorder="1"/>
    <xf numFmtId="168" fontId="0" fillId="0" borderId="0" xfId="2" applyNumberFormat="1" applyFont="1"/>
    <xf numFmtId="168" fontId="0" fillId="0" borderId="0" xfId="2" applyNumberFormat="1" applyFont="1" applyFill="1" applyBorder="1"/>
    <xf numFmtId="2" fontId="0" fillId="0" borderId="0" xfId="0" applyNumberFormat="1"/>
    <xf numFmtId="0" fontId="0" fillId="18" borderId="9" xfId="0" applyFill="1" applyBorder="1"/>
    <xf numFmtId="41" fontId="0" fillId="18" borderId="0" xfId="2" applyFont="1" applyFill="1"/>
    <xf numFmtId="0" fontId="0" fillId="19" borderId="1" xfId="0" applyFill="1" applyBorder="1"/>
    <xf numFmtId="168" fontId="0" fillId="20" borderId="0" xfId="2" applyNumberFormat="1" applyFont="1" applyFill="1" applyBorder="1"/>
    <xf numFmtId="14" fontId="0" fillId="0" borderId="0" xfId="0" applyNumberFormat="1"/>
    <xf numFmtId="43" fontId="0" fillId="5" borderId="0" xfId="1" applyFont="1" applyFill="1"/>
    <xf numFmtId="170" fontId="0" fillId="0" borderId="0" xfId="0" applyNumberFormat="1"/>
    <xf numFmtId="170" fontId="0" fillId="21" borderId="1" xfId="0" applyNumberFormat="1" applyFill="1" applyBorder="1"/>
    <xf numFmtId="168" fontId="0" fillId="21" borderId="1" xfId="2" applyNumberFormat="1" applyFont="1" applyFill="1" applyBorder="1" applyAlignment="1">
      <alignment horizontal="center"/>
    </xf>
    <xf numFmtId="41" fontId="0" fillId="22" borderId="0" xfId="0" applyNumberFormat="1" applyFill="1"/>
    <xf numFmtId="168" fontId="2" fillId="0" borderId="1" xfId="6" applyNumberFormat="1" applyFont="1" applyBorder="1"/>
    <xf numFmtId="41" fontId="2" fillId="0" borderId="1" xfId="6" applyNumberFormat="1" applyFont="1" applyBorder="1"/>
    <xf numFmtId="168" fontId="0" fillId="4" borderId="1" xfId="2" applyNumberFormat="1" applyFont="1" applyFill="1" applyBorder="1"/>
    <xf numFmtId="41" fontId="0" fillId="4" borderId="0" xfId="2" applyFont="1" applyFill="1"/>
    <xf numFmtId="0" fontId="4" fillId="0" borderId="1" xfId="3" applyFont="1" applyBorder="1" applyAlignment="1">
      <alignment horizontal="center"/>
    </xf>
    <xf numFmtId="0" fontId="4" fillId="0" borderId="3" xfId="3" applyFont="1" applyBorder="1" applyAlignment="1">
      <alignment horizontal="center"/>
    </xf>
    <xf numFmtId="0" fontId="4" fillId="0" borderId="5" xfId="3" applyFont="1" applyBorder="1" applyAlignment="1">
      <alignment horizontal="center"/>
    </xf>
    <xf numFmtId="0" fontId="4" fillId="0" borderId="2" xfId="3" applyFont="1" applyBorder="1" applyAlignment="1">
      <alignment horizontal="center"/>
    </xf>
    <xf numFmtId="0" fontId="0" fillId="3" borderId="6" xfId="0" applyFill="1" applyBorder="1" applyAlignment="1">
      <alignment horizontal="center" wrapText="1"/>
    </xf>
    <xf numFmtId="0" fontId="0" fillId="3" borderId="0" xfId="0" applyFill="1" applyAlignment="1">
      <alignment horizontal="center" wrapText="1"/>
    </xf>
    <xf numFmtId="49" fontId="0" fillId="3" borderId="4" xfId="0" applyNumberFormat="1" applyFill="1" applyBorder="1" applyAlignment="1">
      <alignment horizontal="center" wrapText="1"/>
    </xf>
    <xf numFmtId="49" fontId="0" fillId="3" borderId="7" xfId="0" applyNumberFormat="1" applyFill="1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2" xfId="0" applyFont="1" applyBorder="1" applyAlignment="1">
      <alignment horizontal="center"/>
    </xf>
  </cellXfs>
  <cellStyles count="7">
    <cellStyle name="Excel Built-in Normal" xfId="3"/>
    <cellStyle name="Millares" xfId="1" builtinId="3"/>
    <cellStyle name="Millares [0]" xfId="2" builtinId="6"/>
    <cellStyle name="Millares [0] 2" xfId="5"/>
    <cellStyle name="Millares 2" xfId="4"/>
    <cellStyle name="Normal" xfId="0" builtinId="0"/>
    <cellStyle name="Porcentaje" xfId="6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P89"/>
  <sheetViews>
    <sheetView topLeftCell="A3" zoomScale="106" zoomScaleNormal="106" workbookViewId="0">
      <pane xSplit="1" ySplit="4" topLeftCell="H26" activePane="bottomRight" state="frozen"/>
      <selection activeCell="P56" sqref="P56"/>
      <selection pane="topRight" activeCell="P56" sqref="P56"/>
      <selection pane="bottomLeft" activeCell="P56" sqref="P56"/>
      <selection pane="bottomRight" activeCell="P56" sqref="P56"/>
    </sheetView>
  </sheetViews>
  <sheetFormatPr baseColWidth="10" defaultRowHeight="15" x14ac:dyDescent="0.25"/>
  <cols>
    <col min="1" max="1" width="46" style="50" customWidth="1"/>
    <col min="2" max="2" width="15" style="50" customWidth="1"/>
    <col min="3" max="3" width="13.7109375" style="50" customWidth="1"/>
    <col min="4" max="4" width="13.7109375" style="58" customWidth="1"/>
    <col min="5" max="5" width="13.7109375" style="50" customWidth="1"/>
    <col min="6" max="6" width="19.42578125" style="50" bestFit="1" customWidth="1"/>
    <col min="7" max="7" width="17.85546875" style="50" customWidth="1"/>
    <col min="8" max="8" width="15.7109375" style="50" bestFit="1" customWidth="1"/>
    <col min="9" max="9" width="18" style="50" bestFit="1" customWidth="1"/>
    <col min="10" max="11" width="19.42578125" style="50" bestFit="1" customWidth="1"/>
    <col min="12" max="12" width="14.42578125" style="50" bestFit="1" customWidth="1"/>
    <col min="13" max="13" width="13.42578125" style="97" customWidth="1"/>
    <col min="14" max="14" width="13.5703125" style="50" customWidth="1"/>
    <col min="15" max="15" width="15.28515625" style="50" customWidth="1"/>
    <col min="16" max="16" width="12.5703125" style="50" bestFit="1" customWidth="1"/>
    <col min="17" max="16384" width="11.42578125" style="50"/>
  </cols>
  <sheetData>
    <row r="1" spans="1:16" x14ac:dyDescent="0.25">
      <c r="A1" s="191" t="s">
        <v>60</v>
      </c>
      <c r="B1" s="191"/>
      <c r="C1" s="191"/>
      <c r="D1" s="191"/>
      <c r="E1" s="191"/>
      <c r="F1" s="191"/>
      <c r="G1" s="191"/>
      <c r="H1" s="191"/>
      <c r="I1" s="191"/>
      <c r="J1" s="191"/>
      <c r="K1" s="191"/>
      <c r="L1" s="191"/>
      <c r="M1" s="191"/>
      <c r="N1" s="191"/>
    </row>
    <row r="2" spans="1:16" x14ac:dyDescent="0.25">
      <c r="A2" s="37"/>
      <c r="B2" s="37"/>
      <c r="C2" s="37"/>
      <c r="D2" s="38"/>
      <c r="E2" s="37"/>
      <c r="F2" s="37"/>
      <c r="G2" s="37"/>
      <c r="H2" s="37"/>
      <c r="I2" s="37"/>
      <c r="J2" s="37"/>
      <c r="K2" s="37"/>
      <c r="L2" s="37"/>
      <c r="M2" s="90"/>
      <c r="N2" s="37"/>
    </row>
    <row r="3" spans="1:16" x14ac:dyDescent="0.25">
      <c r="A3" s="192" t="s">
        <v>112</v>
      </c>
      <c r="B3" s="193"/>
      <c r="C3" s="193"/>
      <c r="D3" s="193"/>
      <c r="E3" s="193"/>
      <c r="F3" s="193"/>
      <c r="G3" s="193"/>
      <c r="H3" s="193"/>
      <c r="I3" s="193"/>
      <c r="J3" s="193"/>
      <c r="K3" s="193"/>
      <c r="L3" s="193"/>
      <c r="M3" s="193"/>
      <c r="N3" s="193"/>
      <c r="O3" s="194"/>
    </row>
    <row r="4" spans="1:16" x14ac:dyDescent="0.25">
      <c r="A4" s="37" t="s">
        <v>0</v>
      </c>
      <c r="B4" s="29" t="s">
        <v>1</v>
      </c>
      <c r="C4" s="140" t="s">
        <v>2</v>
      </c>
      <c r="D4" s="39" t="s">
        <v>3</v>
      </c>
      <c r="E4" s="29" t="s">
        <v>4</v>
      </c>
      <c r="F4" s="29" t="s">
        <v>90</v>
      </c>
      <c r="G4" s="29" t="s">
        <v>5</v>
      </c>
      <c r="H4" s="29" t="s">
        <v>6</v>
      </c>
      <c r="I4" s="29" t="s">
        <v>7</v>
      </c>
      <c r="J4" s="29" t="s">
        <v>8</v>
      </c>
      <c r="K4" s="29" t="s">
        <v>9</v>
      </c>
      <c r="L4" s="29" t="s">
        <v>10</v>
      </c>
      <c r="M4" s="91" t="s">
        <v>11</v>
      </c>
      <c r="N4" s="29" t="s">
        <v>12</v>
      </c>
      <c r="O4" s="29" t="s">
        <v>13</v>
      </c>
      <c r="P4" s="39"/>
    </row>
    <row r="5" spans="1:16" x14ac:dyDescent="0.25">
      <c r="A5" s="37" t="s">
        <v>14</v>
      </c>
      <c r="B5" s="5">
        <v>385316465.0999999</v>
      </c>
      <c r="C5" s="5">
        <f>+B78</f>
        <v>864799433.0999999</v>
      </c>
      <c r="D5" s="19">
        <f>+C78</f>
        <v>1040482295.8799999</v>
      </c>
      <c r="E5" s="19">
        <f>+D80</f>
        <v>697092954</v>
      </c>
      <c r="F5" s="45">
        <v>0</v>
      </c>
      <c r="G5" s="19">
        <f>+E78</f>
        <v>317601317.18999994</v>
      </c>
      <c r="H5" s="19">
        <f t="shared" ref="H5:O5" si="0">+G78</f>
        <v>564652684.91999996</v>
      </c>
      <c r="I5" s="19">
        <f t="shared" si="0"/>
        <v>479011555.87999988</v>
      </c>
      <c r="J5" s="19">
        <f t="shared" si="0"/>
        <v>477706784.77999985</v>
      </c>
      <c r="K5" s="19">
        <f t="shared" si="0"/>
        <v>595261065.3599999</v>
      </c>
      <c r="L5" s="19">
        <f t="shared" si="0"/>
        <v>788427616.64999986</v>
      </c>
      <c r="M5" s="14">
        <f t="shared" si="0"/>
        <v>538862175.43999982</v>
      </c>
      <c r="N5" s="19">
        <f t="shared" si="0"/>
        <v>694810375.72999978</v>
      </c>
      <c r="O5" s="19">
        <f t="shared" si="0"/>
        <v>689810375.72999978</v>
      </c>
      <c r="P5" s="51"/>
    </row>
    <row r="6" spans="1:16" x14ac:dyDescent="0.25">
      <c r="A6" s="37" t="s">
        <v>15</v>
      </c>
      <c r="B6" s="5"/>
      <c r="C6" s="146">
        <f>78588</f>
        <v>78588</v>
      </c>
      <c r="D6" s="17"/>
      <c r="E6" s="1"/>
      <c r="F6" s="1"/>
      <c r="G6" s="22"/>
      <c r="H6" s="22"/>
      <c r="I6" s="1"/>
      <c r="J6" s="1"/>
      <c r="K6" s="1"/>
      <c r="L6" s="1"/>
      <c r="M6" s="92"/>
      <c r="N6" s="1"/>
      <c r="O6" s="2"/>
      <c r="P6" s="51"/>
    </row>
    <row r="7" spans="1:16" x14ac:dyDescent="0.25">
      <c r="A7" s="40" t="s">
        <v>16</v>
      </c>
      <c r="B7" s="8">
        <f>602089712-B9</f>
        <v>493441954</v>
      </c>
      <c r="C7" s="3">
        <f>596472874-C9</f>
        <v>488589828</v>
      </c>
      <c r="D7" s="18">
        <v>577070989</v>
      </c>
      <c r="E7" s="52">
        <v>117171426</v>
      </c>
      <c r="F7" s="52"/>
      <c r="G7" s="53"/>
      <c r="H7" s="72">
        <f>229744+1426547+12019030+1080870+4868209.95+12680+150000+752300+3500</f>
        <v>20542880.949999999</v>
      </c>
      <c r="I7" s="3">
        <v>5450251</v>
      </c>
      <c r="J7" s="52"/>
      <c r="K7" s="3">
        <f>3500+3500+3500+3500</f>
        <v>14000</v>
      </c>
      <c r="L7" s="3">
        <f>7000+3500</f>
        <v>10500</v>
      </c>
      <c r="M7" s="93"/>
      <c r="N7" s="4"/>
      <c r="O7" s="54">
        <f t="shared" ref="O7:O16" si="1">SUM(B7:N7)</f>
        <v>1702291828.95</v>
      </c>
      <c r="P7" s="51"/>
    </row>
    <row r="8" spans="1:16" ht="30" x14ac:dyDescent="0.25">
      <c r="A8" s="69" t="s">
        <v>105</v>
      </c>
      <c r="B8" s="8"/>
      <c r="C8" s="135"/>
      <c r="D8" s="18"/>
      <c r="E8" s="52"/>
      <c r="F8" s="52"/>
      <c r="G8" s="53"/>
      <c r="H8" s="72"/>
      <c r="I8" s="3">
        <v>399992607.30000001</v>
      </c>
      <c r="J8" s="52"/>
      <c r="K8" s="3">
        <v>195101247</v>
      </c>
      <c r="L8" s="3"/>
      <c r="M8" s="93"/>
      <c r="N8" s="4"/>
      <c r="O8" s="54"/>
      <c r="P8" s="51"/>
    </row>
    <row r="9" spans="1:16" ht="30" x14ac:dyDescent="0.25">
      <c r="A9" s="69" t="s">
        <v>85</v>
      </c>
      <c r="B9" s="8">
        <v>108647758</v>
      </c>
      <c r="C9" s="3">
        <v>107883046</v>
      </c>
      <c r="D9" s="18"/>
      <c r="E9" s="52"/>
      <c r="F9" s="52"/>
      <c r="G9" s="53"/>
      <c r="H9" s="53"/>
      <c r="I9" s="53"/>
      <c r="J9" s="53">
        <v>222130190</v>
      </c>
      <c r="K9" s="53"/>
      <c r="L9" s="53"/>
      <c r="M9" s="89">
        <f>79102182+49635680+70602594</f>
        <v>199340456</v>
      </c>
      <c r="N9" s="53"/>
      <c r="O9" s="54">
        <f t="shared" si="1"/>
        <v>638001450</v>
      </c>
      <c r="P9" s="51"/>
    </row>
    <row r="10" spans="1:16" x14ac:dyDescent="0.25">
      <c r="A10" s="40" t="s">
        <v>91</v>
      </c>
      <c r="B10" s="3">
        <v>17873</v>
      </c>
      <c r="C10" s="135">
        <f>1123772+116670</f>
        <v>1240442</v>
      </c>
      <c r="D10" s="18">
        <v>15436</v>
      </c>
      <c r="E10" s="55">
        <f>27093+5066</f>
        <v>32159</v>
      </c>
      <c r="F10" s="55">
        <f>217009+183874+278511.93+251746.33+260538.02+260736.37+154418.27-0.04+159638.62</f>
        <v>1766472.5</v>
      </c>
      <c r="G10" s="68">
        <f>57870+4510</f>
        <v>62380</v>
      </c>
      <c r="H10" s="72">
        <f>1695+98290</f>
        <v>99985</v>
      </c>
      <c r="I10" s="3">
        <f>396+179490</f>
        <v>179886</v>
      </c>
      <c r="J10" s="3">
        <f>185535</f>
        <v>185535</v>
      </c>
      <c r="K10" s="3">
        <v>184354</v>
      </c>
      <c r="L10" s="3">
        <v>176790</v>
      </c>
      <c r="M10" s="93"/>
      <c r="N10" s="4"/>
      <c r="O10" s="54">
        <f t="shared" si="1"/>
        <v>3961312.5</v>
      </c>
      <c r="P10" s="51"/>
    </row>
    <row r="11" spans="1:16" x14ac:dyDescent="0.25">
      <c r="A11" s="40" t="s">
        <v>17</v>
      </c>
      <c r="B11" s="5"/>
      <c r="C11" s="135"/>
      <c r="D11" s="19"/>
      <c r="E11" s="3">
        <v>54763888</v>
      </c>
      <c r="F11" s="5"/>
      <c r="G11" s="67">
        <f>169205688+75495707</f>
        <v>244701395</v>
      </c>
      <c r="H11" s="23"/>
      <c r="I11" s="3"/>
      <c r="J11" s="3"/>
      <c r="K11" s="3"/>
      <c r="L11" s="3"/>
      <c r="M11" s="93"/>
      <c r="N11" s="4"/>
      <c r="O11" s="54">
        <f t="shared" si="1"/>
        <v>299465283</v>
      </c>
      <c r="P11" s="51"/>
    </row>
    <row r="12" spans="1:16" x14ac:dyDescent="0.25">
      <c r="A12" s="40" t="s">
        <v>87</v>
      </c>
      <c r="B12" s="5"/>
      <c r="C12" s="100"/>
      <c r="D12" s="101"/>
      <c r="E12" s="101"/>
      <c r="F12" s="101"/>
      <c r="G12" s="100">
        <v>40000000</v>
      </c>
      <c r="H12" s="100"/>
      <c r="I12" s="100"/>
      <c r="J12" s="100"/>
      <c r="K12" s="100"/>
      <c r="L12" s="100"/>
      <c r="M12" s="100"/>
      <c r="N12" s="100"/>
      <c r="O12" s="54">
        <f t="shared" si="1"/>
        <v>40000000</v>
      </c>
      <c r="P12" s="51"/>
    </row>
    <row r="13" spans="1:16" x14ac:dyDescent="0.25">
      <c r="A13" s="40" t="s">
        <v>18</v>
      </c>
      <c r="B13" s="3">
        <v>105710000</v>
      </c>
      <c r="C13" s="3">
        <v>2937623</v>
      </c>
      <c r="D13" s="19"/>
      <c r="E13" s="3">
        <v>0</v>
      </c>
      <c r="F13" s="3">
        <v>2700000000</v>
      </c>
      <c r="G13" s="23"/>
      <c r="H13" s="23"/>
      <c r="I13" s="3"/>
      <c r="J13" s="3"/>
      <c r="K13" s="3"/>
      <c r="L13" s="3"/>
      <c r="M13" s="93"/>
      <c r="N13" s="4"/>
      <c r="O13" s="54">
        <f t="shared" si="1"/>
        <v>2808647623</v>
      </c>
      <c r="P13" s="51"/>
    </row>
    <row r="14" spans="1:16" x14ac:dyDescent="0.25">
      <c r="A14" s="49" t="s">
        <v>103</v>
      </c>
      <c r="B14" s="3"/>
      <c r="C14" s="3"/>
      <c r="D14" s="19"/>
      <c r="E14" s="3"/>
      <c r="F14" s="3"/>
      <c r="G14" s="23">
        <f>43529798-4510</f>
        <v>43525288</v>
      </c>
      <c r="H14" s="23"/>
      <c r="I14" s="3"/>
      <c r="J14" s="3"/>
      <c r="K14" s="5"/>
      <c r="L14" s="3"/>
      <c r="M14" s="93"/>
      <c r="N14" s="4"/>
      <c r="O14" s="54">
        <f t="shared" ref="O14" si="2">SUM(B14:N14)</f>
        <v>43525288</v>
      </c>
      <c r="P14" s="51"/>
    </row>
    <row r="15" spans="1:16" x14ac:dyDescent="0.25">
      <c r="A15" s="49" t="s">
        <v>110</v>
      </c>
      <c r="B15" s="3"/>
      <c r="C15" s="135">
        <v>10680000</v>
      </c>
      <c r="D15" s="19">
        <f>5477200+2536200+2536200+2536200+1440000+1440000</f>
        <v>15965800</v>
      </c>
      <c r="E15" s="3">
        <v>0</v>
      </c>
      <c r="F15" s="3"/>
      <c r="G15" s="66">
        <f>499865+11690616+52153839+193232</f>
        <v>64537552</v>
      </c>
      <c r="H15" s="72">
        <f>369710+104843010+15874580+14662440+10023290+6555260+2247544+373406</f>
        <v>154949240</v>
      </c>
      <c r="I15" s="73">
        <f>13237280+5734170+500309+417078+58523+17766460+7076360+120854350</f>
        <v>165644530</v>
      </c>
      <c r="J15" s="3">
        <f>1123772+16396450+499866+5705850+396+385750+499865+7329820+20499960+10800+8454+3270</f>
        <v>52464253</v>
      </c>
      <c r="K15" s="5">
        <f>585231+1123772+1324599+2167864+2618158+9801624+24833101+380734</f>
        <v>42835083</v>
      </c>
      <c r="L15" s="3">
        <f>380043+21462+3270+77</f>
        <v>404852</v>
      </c>
      <c r="M15" s="93">
        <f>122577</f>
        <v>122577</v>
      </c>
      <c r="N15" s="4"/>
      <c r="O15" s="54">
        <f t="shared" ref="O15" si="3">SUM(B15:N15)</f>
        <v>507603887</v>
      </c>
      <c r="P15" s="51"/>
    </row>
    <row r="16" spans="1:16" x14ac:dyDescent="0.25">
      <c r="A16" s="40" t="s">
        <v>97</v>
      </c>
      <c r="B16" s="3">
        <v>0</v>
      </c>
      <c r="C16" s="3">
        <v>0</v>
      </c>
      <c r="D16" s="19">
        <v>0</v>
      </c>
      <c r="E16" s="3">
        <v>0</v>
      </c>
      <c r="F16" s="3">
        <v>237536244</v>
      </c>
      <c r="G16" s="23"/>
      <c r="H16" s="23"/>
      <c r="I16" s="3"/>
      <c r="J16" s="3"/>
      <c r="K16" s="5"/>
      <c r="L16" s="3"/>
      <c r="M16" s="93"/>
      <c r="N16" s="4"/>
      <c r="O16" s="54">
        <f t="shared" si="1"/>
        <v>237536244</v>
      </c>
      <c r="P16" s="51"/>
    </row>
    <row r="17" spans="1:16" x14ac:dyDescent="0.25">
      <c r="A17" s="37" t="s">
        <v>19</v>
      </c>
      <c r="B17" s="41">
        <f t="shared" ref="B17:O17" si="4">SUM(B7:B16)</f>
        <v>707817585</v>
      </c>
      <c r="C17" s="6">
        <f t="shared" si="4"/>
        <v>611330939</v>
      </c>
      <c r="D17" s="20">
        <f t="shared" si="4"/>
        <v>593052225</v>
      </c>
      <c r="E17" s="20">
        <f t="shared" si="4"/>
        <v>171967473</v>
      </c>
      <c r="F17" s="20">
        <f t="shared" si="4"/>
        <v>2939302716.5</v>
      </c>
      <c r="G17" s="20">
        <f>SUM(G7:G16)</f>
        <v>392826615</v>
      </c>
      <c r="H17" s="78">
        <f>SUM(H7:H16)</f>
        <v>175592105.94999999</v>
      </c>
      <c r="I17" s="20">
        <f t="shared" si="4"/>
        <v>571267274.29999995</v>
      </c>
      <c r="J17" s="20">
        <f t="shared" si="4"/>
        <v>274779978</v>
      </c>
      <c r="K17" s="20">
        <f t="shared" si="4"/>
        <v>238134684</v>
      </c>
      <c r="L17" s="20">
        <f t="shared" si="4"/>
        <v>592142</v>
      </c>
      <c r="M17" s="41">
        <f t="shared" si="4"/>
        <v>199463033</v>
      </c>
      <c r="N17" s="20">
        <f t="shared" si="4"/>
        <v>0</v>
      </c>
      <c r="O17" s="20">
        <f t="shared" si="4"/>
        <v>6281032916.4499998</v>
      </c>
      <c r="P17" s="36"/>
    </row>
    <row r="18" spans="1:16" x14ac:dyDescent="0.25">
      <c r="A18" s="37" t="s">
        <v>20</v>
      </c>
      <c r="B18" s="41">
        <f t="shared" ref="B18:O18" si="5">+B5+B17</f>
        <v>1093134050.0999999</v>
      </c>
      <c r="C18" s="6">
        <f t="shared" si="5"/>
        <v>1476130372.0999999</v>
      </c>
      <c r="D18" s="20">
        <f t="shared" si="5"/>
        <v>1633534520.8799999</v>
      </c>
      <c r="E18" s="20">
        <f t="shared" si="5"/>
        <v>869060427</v>
      </c>
      <c r="F18" s="20">
        <f t="shared" ref="F18" si="6">+F5+F17</f>
        <v>2939302716.5</v>
      </c>
      <c r="G18" s="20">
        <f t="shared" si="5"/>
        <v>710427932.18999994</v>
      </c>
      <c r="H18" s="20">
        <f t="shared" si="5"/>
        <v>740244790.86999989</v>
      </c>
      <c r="I18" s="20">
        <f t="shared" si="5"/>
        <v>1050278830.1799998</v>
      </c>
      <c r="J18" s="20">
        <f t="shared" si="5"/>
        <v>752486762.77999985</v>
      </c>
      <c r="K18" s="20">
        <f t="shared" si="5"/>
        <v>833395749.3599999</v>
      </c>
      <c r="L18" s="20">
        <f t="shared" si="5"/>
        <v>789019758.64999986</v>
      </c>
      <c r="M18" s="41">
        <f t="shared" si="5"/>
        <v>738325208.43999982</v>
      </c>
      <c r="N18" s="20">
        <f t="shared" si="5"/>
        <v>694810375.72999978</v>
      </c>
      <c r="O18" s="20">
        <f t="shared" si="5"/>
        <v>6970843292.1799994</v>
      </c>
      <c r="P18" s="51"/>
    </row>
    <row r="19" spans="1:16" x14ac:dyDescent="0.25">
      <c r="A19" s="37" t="s">
        <v>21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14"/>
      <c r="N19" s="5"/>
      <c r="O19" s="5"/>
      <c r="P19" s="51"/>
    </row>
    <row r="20" spans="1:16" x14ac:dyDescent="0.25">
      <c r="A20" s="103" t="s">
        <v>22</v>
      </c>
      <c r="B20" s="3">
        <f>76378910+862344</f>
        <v>77241254</v>
      </c>
      <c r="C20" s="7">
        <f>877803+877803+542580+75030710</f>
        <v>77328896</v>
      </c>
      <c r="D20" s="30">
        <f>859344+89932569+877803+1385672+877803</f>
        <v>93933191</v>
      </c>
      <c r="E20" s="21">
        <f>877803+6078848</f>
        <v>6956651</v>
      </c>
      <c r="F20" s="21"/>
      <c r="G20" s="63">
        <v>1755606</v>
      </c>
      <c r="H20" s="56">
        <f>178465+1024103</f>
        <v>1202568</v>
      </c>
      <c r="I20" s="73">
        <f>202091.14+243693.98</f>
        <v>445785.12</v>
      </c>
      <c r="J20" s="23">
        <v>0</v>
      </c>
      <c r="K20" s="3">
        <v>0</v>
      </c>
      <c r="L20" s="3">
        <v>0</v>
      </c>
      <c r="M20" s="93">
        <v>0</v>
      </c>
      <c r="N20" s="4">
        <v>0</v>
      </c>
      <c r="O20" s="54">
        <f t="shared" ref="O20:O39" si="7">SUM(B20:N20)</f>
        <v>258863951.12</v>
      </c>
      <c r="P20" s="51"/>
    </row>
    <row r="21" spans="1:16" x14ac:dyDescent="0.25">
      <c r="A21" s="103" t="s">
        <v>23</v>
      </c>
      <c r="B21" s="3"/>
      <c r="C21" s="135">
        <v>5000000</v>
      </c>
      <c r="D21" s="30"/>
      <c r="E21" s="21"/>
      <c r="F21" s="21"/>
      <c r="G21" s="56"/>
      <c r="H21" s="56"/>
      <c r="I21" s="3"/>
      <c r="J21" s="23"/>
      <c r="K21" s="3"/>
      <c r="L21" s="3"/>
      <c r="M21" s="41"/>
      <c r="N21" s="4">
        <v>0</v>
      </c>
      <c r="O21" s="54">
        <f t="shared" si="7"/>
        <v>5000000</v>
      </c>
      <c r="P21" s="51"/>
    </row>
    <row r="22" spans="1:16" x14ac:dyDescent="0.25">
      <c r="A22" s="103" t="s">
        <v>24</v>
      </c>
      <c r="B22" s="3">
        <v>14419400</v>
      </c>
      <c r="C22" s="137"/>
      <c r="D22" s="30"/>
      <c r="E22" s="21"/>
      <c r="F22" s="21"/>
      <c r="G22" s="56"/>
      <c r="H22" s="56"/>
      <c r="I22" s="7"/>
      <c r="J22" s="24"/>
      <c r="K22" s="7"/>
      <c r="L22" s="7"/>
      <c r="M22" s="41"/>
      <c r="N22" s="4">
        <v>0</v>
      </c>
      <c r="O22" s="54">
        <f t="shared" si="7"/>
        <v>14419400</v>
      </c>
      <c r="P22" s="51"/>
    </row>
    <row r="23" spans="1:16" x14ac:dyDescent="0.25">
      <c r="A23" s="103" t="s">
        <v>25</v>
      </c>
      <c r="B23" s="3"/>
      <c r="C23" s="3">
        <v>28829900</v>
      </c>
      <c r="D23" s="30">
        <v>29916900</v>
      </c>
      <c r="E23" s="21">
        <f>27899300+4691200+3225800</f>
        <v>35816300</v>
      </c>
      <c r="F23" s="57"/>
      <c r="G23" s="63">
        <v>1162000</v>
      </c>
      <c r="H23" s="56">
        <v>1048200</v>
      </c>
      <c r="I23" s="74">
        <v>153100</v>
      </c>
      <c r="J23" s="56"/>
      <c r="K23" s="23">
        <v>0</v>
      </c>
      <c r="L23" s="23">
        <v>0</v>
      </c>
      <c r="M23" s="27">
        <v>0</v>
      </c>
      <c r="N23" s="4">
        <v>0</v>
      </c>
      <c r="O23" s="54">
        <f t="shared" si="7"/>
        <v>96926400</v>
      </c>
      <c r="P23" s="51"/>
    </row>
    <row r="24" spans="1:16" x14ac:dyDescent="0.25">
      <c r="A24" s="103" t="s">
        <v>26</v>
      </c>
      <c r="B24" s="3">
        <f>16414894+482791</f>
        <v>16897685</v>
      </c>
      <c r="C24" s="3">
        <f>955948+1770432+1147115</f>
        <v>3873495</v>
      </c>
      <c r="D24" s="30">
        <v>1082184</v>
      </c>
      <c r="E24" s="21">
        <v>0</v>
      </c>
      <c r="F24" s="21">
        <f>1965635327+48066913-237536244+73950000</f>
        <v>1850115996</v>
      </c>
      <c r="G24" s="53"/>
      <c r="H24" s="56">
        <v>0</v>
      </c>
      <c r="I24" s="3">
        <v>0</v>
      </c>
      <c r="J24" s="23"/>
      <c r="K24" s="3"/>
      <c r="L24" s="3"/>
      <c r="M24" s="93"/>
      <c r="N24" s="4">
        <v>0</v>
      </c>
      <c r="O24" s="54">
        <f t="shared" si="7"/>
        <v>1871969360</v>
      </c>
      <c r="P24" s="51"/>
    </row>
    <row r="25" spans="1:16" x14ac:dyDescent="0.25">
      <c r="A25" s="103" t="s">
        <v>27</v>
      </c>
      <c r="B25" s="3"/>
      <c r="C25" s="4"/>
      <c r="D25" s="30">
        <v>8733251</v>
      </c>
      <c r="E25" s="21">
        <f>5656584+3883772+4108969+6102562</f>
        <v>19751887</v>
      </c>
      <c r="F25" s="21">
        <v>237536244</v>
      </c>
      <c r="G25" s="63">
        <f>8115105+7394831</f>
        <v>15509936</v>
      </c>
      <c r="H25" s="56"/>
      <c r="I25" s="4"/>
      <c r="J25" s="25"/>
      <c r="K25" s="4"/>
      <c r="L25" s="4"/>
      <c r="M25" s="93"/>
      <c r="N25" s="4"/>
      <c r="O25" s="54">
        <f t="shared" si="7"/>
        <v>281531318</v>
      </c>
      <c r="P25" s="51"/>
    </row>
    <row r="26" spans="1:16" x14ac:dyDescent="0.25">
      <c r="A26" s="103" t="s">
        <v>88</v>
      </c>
      <c r="B26" s="3"/>
      <c r="C26" s="3">
        <f>1752990+1168573+987220+1419321</f>
        <v>5328104</v>
      </c>
      <c r="D26" s="30"/>
      <c r="E26" s="21"/>
      <c r="F26" s="21"/>
      <c r="G26" s="53"/>
      <c r="H26" s="56"/>
      <c r="I26" s="3"/>
      <c r="J26" s="23"/>
      <c r="K26" s="3"/>
      <c r="L26" s="4"/>
      <c r="M26" s="93"/>
      <c r="N26" s="4"/>
      <c r="O26" s="54">
        <f t="shared" si="7"/>
        <v>5328104</v>
      </c>
      <c r="P26" s="51"/>
    </row>
    <row r="27" spans="1:16" x14ac:dyDescent="0.25">
      <c r="A27" s="103" t="s">
        <v>28</v>
      </c>
      <c r="B27" s="7">
        <v>4833922</v>
      </c>
      <c r="C27" s="135">
        <v>29510121</v>
      </c>
      <c r="D27" s="30">
        <f>222735+1251108+387350+969594+5127002+111200+16416570+1208663+1251108+599770+3066986+2502216</f>
        <v>33114302</v>
      </c>
      <c r="E27" s="21">
        <f>599770+1251108+6962168+75750+1597595+3614492+969594-26999</f>
        <v>15043478</v>
      </c>
      <c r="F27" s="21">
        <v>497921168</v>
      </c>
      <c r="G27" s="63">
        <v>1549642</v>
      </c>
      <c r="H27" s="56">
        <f>84000+35600</f>
        <v>119600</v>
      </c>
      <c r="I27" s="56">
        <v>0</v>
      </c>
      <c r="J27" s="56">
        <v>0</v>
      </c>
      <c r="K27" s="56">
        <v>0</v>
      </c>
      <c r="L27" s="56">
        <v>0</v>
      </c>
      <c r="M27" s="89">
        <v>0</v>
      </c>
      <c r="N27" s="56">
        <v>0</v>
      </c>
      <c r="O27" s="54">
        <f t="shared" si="7"/>
        <v>582092233</v>
      </c>
      <c r="P27" s="51"/>
    </row>
    <row r="28" spans="1:16" x14ac:dyDescent="0.25">
      <c r="A28" s="40" t="s">
        <v>29</v>
      </c>
      <c r="B28" s="3">
        <v>10680000</v>
      </c>
      <c r="C28" s="3">
        <f>10680000-4617000</f>
        <v>6063000</v>
      </c>
      <c r="D28" s="30">
        <v>1767000</v>
      </c>
      <c r="E28" s="21">
        <v>10680000</v>
      </c>
      <c r="F28" s="21"/>
      <c r="G28" s="62">
        <v>10680000</v>
      </c>
      <c r="H28" s="76">
        <v>10680000</v>
      </c>
      <c r="I28" s="21">
        <v>10680000</v>
      </c>
      <c r="J28" s="82">
        <v>10680000</v>
      </c>
      <c r="K28" s="21">
        <v>10680000</v>
      </c>
      <c r="L28" s="21">
        <v>10680000</v>
      </c>
      <c r="M28" s="94"/>
      <c r="N28" s="21"/>
      <c r="O28" s="54">
        <f t="shared" si="7"/>
        <v>93270000</v>
      </c>
      <c r="P28" s="51"/>
    </row>
    <row r="29" spans="1:16" x14ac:dyDescent="0.25">
      <c r="A29" s="40" t="s">
        <v>30</v>
      </c>
      <c r="B29" s="3"/>
      <c r="C29" s="3">
        <v>27580943</v>
      </c>
      <c r="D29" s="30">
        <f>1920800+2263800+946761+2973300+875761+1558491+793561+1048543+1429916+738190+1734000+2654800+978670+846844+1050000+1120000+1050000+2443100+1385500+2263800+1920000+2973300+793561+1048543+847966+1050000+956699+978670+946761+757636+1558491+1138000+1429916+2654800+2443100+1734000+850004+1120000+1050000+1050000+1100000+1050000+1138000+4998000</f>
        <v>65663284</v>
      </c>
      <c r="E29" s="21"/>
      <c r="F29" s="57">
        <v>0</v>
      </c>
      <c r="G29" s="65">
        <f>2263800+1465900+561352+481674+2499000+1358300</f>
        <v>8630026</v>
      </c>
      <c r="H29" s="57">
        <f>2443100+1391000+1391000+2263800</f>
        <v>7488900</v>
      </c>
      <c r="I29" s="75">
        <f>1391000+2443100+2450000+556400+2782000+834600+2263800+ 2450000+5390000+4498200</f>
        <v>25059100</v>
      </c>
      <c r="J29" s="83">
        <f>2443100+4498200+5390000+1391000+1391000+2263800+2443100</f>
        <v>19820200</v>
      </c>
      <c r="K29" s="57">
        <f>2450000+4498200+5390000+1391000+2443100+2450000+1391000+2263800</f>
        <v>22277100</v>
      </c>
      <c r="L29" s="57">
        <f>5390000+1391000+1391000+2263800+2443100+2450000+4498200</f>
        <v>19827100</v>
      </c>
      <c r="M29" s="95">
        <f>5390000</f>
        <v>5390000</v>
      </c>
      <c r="N29" s="57"/>
      <c r="O29" s="54">
        <f t="shared" si="7"/>
        <v>201736653</v>
      </c>
      <c r="P29" s="51"/>
    </row>
    <row r="30" spans="1:16" x14ac:dyDescent="0.25">
      <c r="A30" s="40" t="s">
        <v>77</v>
      </c>
      <c r="B30" s="3"/>
      <c r="C30" s="7"/>
      <c r="D30" s="30">
        <f>28171116+8843600</f>
        <v>37014716</v>
      </c>
      <c r="E30" s="60"/>
      <c r="F30" s="51"/>
      <c r="G30" s="64">
        <v>4617000</v>
      </c>
      <c r="H30" s="51"/>
      <c r="I30" s="51"/>
      <c r="J30" s="84">
        <f>3534000+3666667</f>
        <v>7200667</v>
      </c>
      <c r="K30" s="51">
        <f>1767000+1767000</f>
        <v>3534000</v>
      </c>
      <c r="L30" s="51"/>
      <c r="M30" s="96">
        <v>1767000</v>
      </c>
      <c r="N30" s="51"/>
      <c r="O30" s="54">
        <f t="shared" si="7"/>
        <v>54133383</v>
      </c>
      <c r="P30" s="51"/>
    </row>
    <row r="31" spans="1:16" x14ac:dyDescent="0.25">
      <c r="A31" s="40" t="s">
        <v>31</v>
      </c>
      <c r="B31" s="7"/>
      <c r="C31" s="3">
        <f>286200+784000</f>
        <v>1070200</v>
      </c>
      <c r="D31" s="30">
        <f>286200+653367+286200+784000</f>
        <v>2009767</v>
      </c>
      <c r="E31" s="21"/>
      <c r="F31" s="21"/>
      <c r="G31" s="62">
        <v>286200</v>
      </c>
      <c r="H31" s="21">
        <v>286200</v>
      </c>
      <c r="I31" s="76">
        <v>286000</v>
      </c>
      <c r="J31" s="21"/>
      <c r="K31" s="21">
        <v>572000</v>
      </c>
      <c r="L31" s="21"/>
      <c r="M31" s="94">
        <v>572000</v>
      </c>
      <c r="N31" s="21"/>
      <c r="O31" s="54">
        <f t="shared" si="7"/>
        <v>5082367</v>
      </c>
      <c r="P31" s="51"/>
    </row>
    <row r="32" spans="1:16" x14ac:dyDescent="0.25">
      <c r="A32" s="40" t="s">
        <v>32</v>
      </c>
      <c r="B32" s="3"/>
      <c r="C32" s="137">
        <f>4299000+32482000</f>
        <v>36781000</v>
      </c>
      <c r="D32" s="30">
        <f>26381320+2866000+26381320</f>
        <v>55628640</v>
      </c>
      <c r="E32" s="21">
        <v>0</v>
      </c>
      <c r="F32" s="21"/>
      <c r="G32" s="53"/>
      <c r="H32" s="56"/>
      <c r="I32" s="7"/>
      <c r="J32" s="24"/>
      <c r="K32" s="7"/>
      <c r="L32" s="7"/>
      <c r="M32" s="93"/>
      <c r="N32" s="4"/>
      <c r="O32" s="54">
        <f t="shared" si="7"/>
        <v>92409640</v>
      </c>
      <c r="P32" s="51"/>
    </row>
    <row r="33" spans="1:16" x14ac:dyDescent="0.25">
      <c r="A33" s="40" t="s">
        <v>175</v>
      </c>
      <c r="B33" s="3"/>
      <c r="C33" s="3"/>
      <c r="D33" s="30">
        <v>4346000</v>
      </c>
      <c r="E33" s="21"/>
      <c r="F33" s="21"/>
      <c r="G33" s="53"/>
      <c r="H33" s="74">
        <v>14839000</v>
      </c>
      <c r="I33" s="9"/>
      <c r="J33" s="24"/>
      <c r="K33" s="7"/>
      <c r="L33" s="7"/>
      <c r="N33" s="4"/>
      <c r="O33" s="54">
        <f t="shared" si="7"/>
        <v>19185000</v>
      </c>
      <c r="P33" s="51"/>
    </row>
    <row r="34" spans="1:16" x14ac:dyDescent="0.25">
      <c r="A34" s="40" t="s">
        <v>33</v>
      </c>
      <c r="B34" s="3">
        <v>1500000</v>
      </c>
      <c r="C34" s="7">
        <f>1470000+1500000</f>
        <v>2970000</v>
      </c>
      <c r="D34" s="30">
        <f>7364000+3283000</f>
        <v>10647000</v>
      </c>
      <c r="E34" s="21"/>
      <c r="F34" s="21"/>
      <c r="G34" s="21"/>
      <c r="H34" s="21">
        <v>600000</v>
      </c>
      <c r="I34" s="76">
        <v>600000</v>
      </c>
      <c r="J34" s="82">
        <v>600000</v>
      </c>
      <c r="K34" s="21"/>
      <c r="L34" s="21"/>
      <c r="M34" s="94">
        <v>600000</v>
      </c>
      <c r="N34" s="21"/>
      <c r="O34" s="54">
        <f>SUM(B34:N34)</f>
        <v>17517000</v>
      </c>
      <c r="P34" s="51"/>
    </row>
    <row r="35" spans="1:16" x14ac:dyDescent="0.25">
      <c r="A35" s="40" t="s">
        <v>113</v>
      </c>
      <c r="B35" s="3"/>
      <c r="C35" s="137"/>
      <c r="D35" s="30"/>
      <c r="E35" s="21"/>
      <c r="F35" s="21"/>
      <c r="G35" s="21"/>
      <c r="H35" s="99"/>
      <c r="I35" s="99"/>
      <c r="J35" s="99">
        <v>25000000</v>
      </c>
      <c r="K35" s="99"/>
      <c r="L35" s="99">
        <v>10000000</v>
      </c>
      <c r="M35" s="99">
        <f>5000000+21002976</f>
        <v>26002976</v>
      </c>
      <c r="N35" s="99">
        <v>5000000</v>
      </c>
      <c r="O35" s="54">
        <f>SUM(B35:N35)</f>
        <v>66002976</v>
      </c>
      <c r="P35" s="51"/>
    </row>
    <row r="36" spans="1:16" x14ac:dyDescent="0.25">
      <c r="A36" s="40" t="s">
        <v>86</v>
      </c>
      <c r="B36" s="3"/>
      <c r="C36" s="7"/>
      <c r="D36" s="30"/>
      <c r="E36" s="21"/>
      <c r="F36" s="21"/>
      <c r="G36" s="21">
        <f>+G9*0.15</f>
        <v>0</v>
      </c>
      <c r="H36" s="21"/>
      <c r="I36" s="21">
        <f t="shared" ref="I36" si="8">+I9*0.2</f>
        <v>0</v>
      </c>
      <c r="J36" s="21"/>
      <c r="K36" s="21"/>
      <c r="L36" s="21"/>
      <c r="M36" s="94"/>
      <c r="N36" s="21"/>
      <c r="O36" s="54">
        <f t="shared" si="7"/>
        <v>0</v>
      </c>
      <c r="P36" s="51"/>
    </row>
    <row r="37" spans="1:16" x14ac:dyDescent="0.25">
      <c r="A37" s="40" t="s">
        <v>104</v>
      </c>
      <c r="B37" s="3"/>
      <c r="C37" s="7"/>
      <c r="D37" s="30"/>
      <c r="E37" s="21"/>
      <c r="F37" s="21"/>
      <c r="G37" s="21"/>
      <c r="H37" s="21">
        <f>402000+400000</f>
        <v>802000</v>
      </c>
      <c r="I37" s="21"/>
      <c r="J37" s="21"/>
      <c r="K37" s="21"/>
      <c r="L37" s="21"/>
      <c r="M37" s="94"/>
      <c r="N37" s="21"/>
      <c r="O37" s="54">
        <f t="shared" si="7"/>
        <v>802000</v>
      </c>
      <c r="P37" s="51"/>
    </row>
    <row r="38" spans="1:16" x14ac:dyDescent="0.25">
      <c r="A38" s="40" t="s">
        <v>99</v>
      </c>
      <c r="B38" s="3"/>
      <c r="C38" s="7"/>
      <c r="D38" s="30"/>
      <c r="E38" s="21"/>
      <c r="F38" s="21"/>
      <c r="G38" s="21"/>
      <c r="H38" s="21"/>
      <c r="I38" s="21"/>
      <c r="J38" s="21"/>
      <c r="K38" s="21"/>
      <c r="L38" s="21"/>
      <c r="M38" s="94"/>
      <c r="N38" s="21"/>
      <c r="O38" s="54">
        <f t="shared" si="7"/>
        <v>0</v>
      </c>
      <c r="P38" s="51"/>
    </row>
    <row r="39" spans="1:16" x14ac:dyDescent="0.25">
      <c r="A39" s="40" t="s">
        <v>97</v>
      </c>
      <c r="B39" s="3"/>
      <c r="C39" s="7"/>
      <c r="D39" s="30"/>
      <c r="E39" s="21">
        <v>237536244</v>
      </c>
      <c r="F39" s="21"/>
      <c r="G39" s="21"/>
      <c r="H39" s="21"/>
      <c r="I39" s="21"/>
      <c r="J39" s="21"/>
      <c r="K39" s="21"/>
      <c r="L39" s="21"/>
      <c r="M39" s="94"/>
      <c r="N39" s="21"/>
      <c r="O39" s="54">
        <f t="shared" si="7"/>
        <v>237536244</v>
      </c>
      <c r="P39" s="51"/>
    </row>
    <row r="40" spans="1:16" x14ac:dyDescent="0.25">
      <c r="A40" s="37" t="s">
        <v>34</v>
      </c>
      <c r="B40" s="14">
        <f>SUM(B20:B39)</f>
        <v>125572261</v>
      </c>
      <c r="C40" s="14">
        <f t="shared" ref="C40:N40" si="9">SUM(C20:C39)</f>
        <v>224335659</v>
      </c>
      <c r="D40" s="14">
        <f>SUM(D20:D39)</f>
        <v>343856235</v>
      </c>
      <c r="E40" s="14">
        <f t="shared" si="9"/>
        <v>325784560</v>
      </c>
      <c r="F40" s="14">
        <f t="shared" si="9"/>
        <v>2585573408</v>
      </c>
      <c r="G40" s="14">
        <f t="shared" si="9"/>
        <v>44190410</v>
      </c>
      <c r="H40" s="14">
        <f t="shared" si="9"/>
        <v>37066468</v>
      </c>
      <c r="I40" s="14">
        <f t="shared" si="9"/>
        <v>37223985.119999997</v>
      </c>
      <c r="J40" s="14">
        <f t="shared" si="9"/>
        <v>63300867</v>
      </c>
      <c r="K40" s="14">
        <f t="shared" si="9"/>
        <v>37063100</v>
      </c>
      <c r="L40" s="14">
        <f t="shared" si="9"/>
        <v>40507100</v>
      </c>
      <c r="M40" s="14">
        <f t="shared" si="9"/>
        <v>34331976</v>
      </c>
      <c r="N40" s="14">
        <f t="shared" si="9"/>
        <v>5000000</v>
      </c>
      <c r="O40" s="14">
        <f>SUM(O20:O39)</f>
        <v>3903806029.1199999</v>
      </c>
      <c r="P40" s="51"/>
    </row>
    <row r="41" spans="1:16" x14ac:dyDescent="0.25">
      <c r="A41" s="37" t="s">
        <v>35</v>
      </c>
      <c r="B41" s="3"/>
      <c r="C41" s="144">
        <f>1004823+14003+5494</f>
        <v>1024320</v>
      </c>
      <c r="D41" s="30"/>
      <c r="E41" s="21"/>
      <c r="F41" s="21"/>
      <c r="G41" s="53"/>
      <c r="H41" s="56"/>
      <c r="I41" s="7"/>
      <c r="J41" s="24"/>
      <c r="K41" s="7"/>
      <c r="L41" s="7"/>
      <c r="M41" s="93"/>
      <c r="N41" s="4"/>
      <c r="O41" s="54">
        <f>SUM(B41:N41)</f>
        <v>1024320</v>
      </c>
      <c r="P41" s="51"/>
    </row>
    <row r="42" spans="1:16" x14ac:dyDescent="0.25">
      <c r="A42" s="40" t="s">
        <v>92</v>
      </c>
      <c r="B42" s="3">
        <v>25015720</v>
      </c>
      <c r="C42" s="3">
        <f>11746070+19418550</f>
        <v>31164620</v>
      </c>
      <c r="D42" s="30">
        <f>8092400+21438940</f>
        <v>29531340</v>
      </c>
      <c r="E42" s="21">
        <f>513630+8449140+13698680+7843070</f>
        <v>30504520</v>
      </c>
      <c r="F42" s="21">
        <v>0</v>
      </c>
      <c r="G42" s="63">
        <f>20008750+28760</f>
        <v>20037510</v>
      </c>
      <c r="H42" s="56"/>
      <c r="I42" s="73">
        <v>28650</v>
      </c>
      <c r="J42" s="53"/>
      <c r="K42" s="10">
        <v>28500</v>
      </c>
      <c r="L42" s="3"/>
      <c r="M42" s="93"/>
      <c r="N42" s="4"/>
      <c r="O42" s="54">
        <f>SUM(B42:N42)</f>
        <v>136310860</v>
      </c>
      <c r="P42" s="51"/>
    </row>
    <row r="43" spans="1:16" x14ac:dyDescent="0.25">
      <c r="A43" s="40" t="s">
        <v>36</v>
      </c>
      <c r="B43" s="3">
        <v>2005647</v>
      </c>
      <c r="C43" s="3">
        <f>370623+619681+1123772</f>
        <v>2114076</v>
      </c>
      <c r="D43" s="30">
        <f>373649+585723+1123772</f>
        <v>2083144</v>
      </c>
      <c r="E43" s="21">
        <f>372785+585231+1123772</f>
        <v>2081788</v>
      </c>
      <c r="F43" s="21"/>
      <c r="G43" s="62">
        <f>386464</f>
        <v>386464</v>
      </c>
      <c r="H43" s="21">
        <v>0</v>
      </c>
      <c r="I43" s="21">
        <v>0</v>
      </c>
      <c r="J43" s="21">
        <v>0</v>
      </c>
      <c r="K43" s="21">
        <v>0</v>
      </c>
      <c r="L43" s="21">
        <v>0</v>
      </c>
      <c r="M43" s="94">
        <v>0</v>
      </c>
      <c r="N43" s="21">
        <v>0</v>
      </c>
      <c r="O43" s="54">
        <f>SUM(B43:N43)</f>
        <v>8671119</v>
      </c>
      <c r="P43" s="51"/>
    </row>
    <row r="44" spans="1:16" x14ac:dyDescent="0.25">
      <c r="A44" s="37" t="s">
        <v>37</v>
      </c>
      <c r="B44" s="5">
        <f>SUM(B42:B43)</f>
        <v>27021367</v>
      </c>
      <c r="C44" s="5">
        <f t="shared" ref="C44:O44" si="10">SUM(C42:C43)</f>
        <v>33278696</v>
      </c>
      <c r="D44" s="5">
        <f t="shared" si="10"/>
        <v>31614484</v>
      </c>
      <c r="E44" s="5">
        <f t="shared" si="10"/>
        <v>32586308</v>
      </c>
      <c r="F44" s="48">
        <f t="shared" si="10"/>
        <v>0</v>
      </c>
      <c r="G44" s="5">
        <f t="shared" si="10"/>
        <v>20423974</v>
      </c>
      <c r="H44" s="5">
        <f t="shared" si="10"/>
        <v>0</v>
      </c>
      <c r="I44" s="5">
        <f t="shared" si="10"/>
        <v>28650</v>
      </c>
      <c r="J44" s="5">
        <f t="shared" si="10"/>
        <v>0</v>
      </c>
      <c r="K44" s="5">
        <f t="shared" si="10"/>
        <v>28500</v>
      </c>
      <c r="L44" s="5">
        <f t="shared" si="10"/>
        <v>0</v>
      </c>
      <c r="M44" s="14">
        <f t="shared" si="10"/>
        <v>0</v>
      </c>
      <c r="N44" s="5">
        <f t="shared" si="10"/>
        <v>0</v>
      </c>
      <c r="O44" s="5">
        <f t="shared" si="10"/>
        <v>144981979</v>
      </c>
      <c r="P44" s="51"/>
    </row>
    <row r="45" spans="1:16" x14ac:dyDescent="0.25">
      <c r="A45" s="37" t="s">
        <v>38</v>
      </c>
      <c r="B45" s="3"/>
      <c r="C45" s="7"/>
      <c r="D45" s="30"/>
      <c r="E45" s="21"/>
      <c r="F45" s="21"/>
      <c r="G45" s="53"/>
      <c r="H45" s="56"/>
      <c r="I45" s="7"/>
      <c r="J45" s="24"/>
      <c r="K45" s="7"/>
      <c r="L45" s="7"/>
      <c r="M45" s="93"/>
      <c r="N45" s="4"/>
      <c r="O45" s="54">
        <f t="shared" ref="O45:O66" si="11">SUM(B45:N45)</f>
        <v>0</v>
      </c>
      <c r="P45" s="51"/>
    </row>
    <row r="46" spans="1:16" x14ac:dyDescent="0.25">
      <c r="A46" s="103" t="s">
        <v>101</v>
      </c>
      <c r="B46" s="3">
        <v>21123839</v>
      </c>
      <c r="C46" s="137">
        <f>5541667+11705530.78+3717339.44+10000000</f>
        <v>30964537.220000003</v>
      </c>
      <c r="D46" s="30">
        <f>3510011+27247197</f>
        <v>30757208</v>
      </c>
      <c r="E46" s="21"/>
      <c r="F46" s="21"/>
      <c r="G46" s="62">
        <v>3508100.82</v>
      </c>
      <c r="H46" s="21"/>
      <c r="I46" s="21"/>
      <c r="J46" s="24"/>
      <c r="K46" s="7" t="s">
        <v>58</v>
      </c>
      <c r="L46" s="7"/>
      <c r="M46" s="96"/>
      <c r="N46" s="4"/>
      <c r="O46" s="54">
        <f t="shared" si="11"/>
        <v>86353685.039999992</v>
      </c>
      <c r="P46" s="51"/>
    </row>
    <row r="47" spans="1:16" x14ac:dyDescent="0.25">
      <c r="A47" s="103" t="s">
        <v>61</v>
      </c>
      <c r="B47" s="3"/>
      <c r="C47" s="7">
        <v>65212940</v>
      </c>
      <c r="D47" s="30">
        <f>520248+1308000</f>
        <v>1828248</v>
      </c>
      <c r="E47" s="21">
        <f>675285+1688700+2152000</f>
        <v>4515985</v>
      </c>
      <c r="F47" s="21"/>
      <c r="G47" s="53"/>
      <c r="H47" s="56"/>
      <c r="I47" s="12"/>
      <c r="J47" s="26"/>
      <c r="K47" s="7"/>
      <c r="L47" s="7"/>
      <c r="M47" s="93"/>
      <c r="N47" s="4"/>
      <c r="O47" s="54">
        <f t="shared" si="11"/>
        <v>71557173</v>
      </c>
      <c r="P47" s="51"/>
    </row>
    <row r="48" spans="1:16" x14ac:dyDescent="0.25">
      <c r="A48" s="103" t="s">
        <v>39</v>
      </c>
      <c r="B48" s="3"/>
      <c r="C48" s="3">
        <v>37100855</v>
      </c>
      <c r="D48" s="30">
        <f>32269756+23287110</f>
        <v>55556866</v>
      </c>
      <c r="E48" s="21"/>
      <c r="F48" s="21"/>
      <c r="G48" s="53"/>
      <c r="H48" s="53"/>
      <c r="I48" s="12"/>
      <c r="J48" s="26"/>
      <c r="K48" s="7"/>
      <c r="L48" s="7"/>
      <c r="M48" s="93"/>
      <c r="N48" s="4"/>
      <c r="O48" s="54">
        <f t="shared" si="11"/>
        <v>92657721</v>
      </c>
      <c r="P48" s="51"/>
    </row>
    <row r="49" spans="1:16" x14ac:dyDescent="0.25">
      <c r="A49" s="40" t="s">
        <v>40</v>
      </c>
      <c r="B49" s="3"/>
      <c r="C49" s="135">
        <v>1620098</v>
      </c>
      <c r="D49" s="30">
        <v>1666000</v>
      </c>
      <c r="E49" s="21"/>
      <c r="F49" s="21"/>
      <c r="G49" s="53"/>
      <c r="H49" s="53"/>
      <c r="I49" s="12"/>
      <c r="J49" s="26"/>
      <c r="K49" s="7"/>
      <c r="L49" s="7"/>
      <c r="M49" s="93"/>
      <c r="N49" s="4"/>
      <c r="O49" s="54">
        <f t="shared" si="11"/>
        <v>3286098</v>
      </c>
      <c r="P49" s="51"/>
    </row>
    <row r="50" spans="1:16" x14ac:dyDescent="0.25">
      <c r="A50" s="40" t="s">
        <v>41</v>
      </c>
      <c r="B50" s="3"/>
      <c r="C50" s="3"/>
      <c r="D50" s="30">
        <f>1382600+3853000</f>
        <v>5235600</v>
      </c>
      <c r="E50" s="21">
        <v>785900</v>
      </c>
      <c r="F50" s="21"/>
      <c r="G50" s="53"/>
      <c r="H50" s="53"/>
      <c r="I50" s="53"/>
      <c r="J50" s="53"/>
      <c r="K50" s="53"/>
      <c r="L50" s="53"/>
      <c r="M50" s="89"/>
      <c r="N50" s="53"/>
      <c r="O50" s="54">
        <f t="shared" si="11"/>
        <v>6021500</v>
      </c>
      <c r="P50" s="51"/>
    </row>
    <row r="51" spans="1:16" x14ac:dyDescent="0.25">
      <c r="A51" s="103" t="s">
        <v>42</v>
      </c>
      <c r="B51" s="3"/>
      <c r="C51" s="3">
        <v>1218000</v>
      </c>
      <c r="D51" s="30">
        <v>1033250</v>
      </c>
      <c r="E51" s="21"/>
      <c r="F51" s="21"/>
      <c r="G51" s="21"/>
      <c r="H51" s="21"/>
      <c r="I51" s="21"/>
      <c r="J51" s="21"/>
      <c r="K51" s="21"/>
      <c r="L51" s="21"/>
      <c r="M51" s="94"/>
      <c r="N51" s="21"/>
      <c r="O51" s="54">
        <f t="shared" si="11"/>
        <v>2251250</v>
      </c>
      <c r="P51" s="51"/>
    </row>
    <row r="52" spans="1:16" x14ac:dyDescent="0.25">
      <c r="A52" s="103" t="s">
        <v>43</v>
      </c>
      <c r="B52" s="7"/>
      <c r="C52" s="3"/>
      <c r="D52" s="30">
        <f>18774200+11260200</f>
        <v>30034400</v>
      </c>
      <c r="E52" s="21"/>
      <c r="F52" s="21"/>
      <c r="G52" s="53"/>
      <c r="H52" s="53"/>
      <c r="I52" s="12"/>
      <c r="J52" s="26"/>
      <c r="K52" s="7"/>
      <c r="L52" s="7"/>
      <c r="M52" s="93"/>
      <c r="N52" s="4"/>
      <c r="O52" s="54">
        <f t="shared" si="11"/>
        <v>30034400</v>
      </c>
      <c r="P52" s="51"/>
    </row>
    <row r="53" spans="1:16" x14ac:dyDescent="0.25">
      <c r="A53" s="103" t="s">
        <v>44</v>
      </c>
      <c r="B53" s="3">
        <v>3874400</v>
      </c>
      <c r="C53" s="3">
        <v>3957600</v>
      </c>
      <c r="D53" s="30">
        <f>SUM(D4:D52)</f>
        <v>4737174276.7600002</v>
      </c>
      <c r="E53" s="21"/>
      <c r="F53" s="21"/>
      <c r="G53" s="53"/>
      <c r="H53" s="53"/>
      <c r="I53" s="12"/>
      <c r="J53" s="26"/>
      <c r="K53" s="7"/>
      <c r="L53" s="7"/>
      <c r="M53" s="93"/>
      <c r="N53" s="4"/>
      <c r="O53" s="54">
        <f t="shared" si="11"/>
        <v>4745006276.7600002</v>
      </c>
      <c r="P53" s="51"/>
    </row>
    <row r="54" spans="1:16" x14ac:dyDescent="0.25">
      <c r="A54" s="103" t="s">
        <v>176</v>
      </c>
      <c r="B54" s="7"/>
      <c r="C54" s="3"/>
      <c r="D54" s="3">
        <f>D3-D53</f>
        <v>-4737174276.7600002</v>
      </c>
      <c r="E54" s="21">
        <f>18603160.92+4772826+573542</f>
        <v>23949528.920000002</v>
      </c>
      <c r="F54" s="21"/>
      <c r="G54" s="53"/>
      <c r="H54" s="53"/>
      <c r="I54" s="12"/>
      <c r="J54" s="27"/>
      <c r="K54" s="7"/>
      <c r="L54" s="7"/>
      <c r="M54" s="93"/>
      <c r="N54" s="4"/>
      <c r="O54" s="54">
        <f t="shared" si="11"/>
        <v>-4713224747.8400002</v>
      </c>
      <c r="P54" s="51"/>
    </row>
    <row r="55" spans="1:16" x14ac:dyDescent="0.25">
      <c r="A55" s="103" t="s">
        <v>106</v>
      </c>
      <c r="B55" s="7"/>
      <c r="C55" s="3"/>
      <c r="D55" s="30">
        <f>7514100+11727400</f>
        <v>19241500</v>
      </c>
      <c r="E55" s="21">
        <v>1332800</v>
      </c>
      <c r="F55" s="21"/>
      <c r="G55" s="53" t="s">
        <v>62</v>
      </c>
      <c r="H55" s="53"/>
      <c r="I55" s="12"/>
      <c r="J55" s="26"/>
      <c r="K55" s="7"/>
      <c r="L55" s="7"/>
      <c r="M55" s="93"/>
      <c r="N55" s="4"/>
      <c r="O55" s="54">
        <f t="shared" si="11"/>
        <v>20574300</v>
      </c>
      <c r="P55" s="51"/>
    </row>
    <row r="56" spans="1:16" x14ac:dyDescent="0.25">
      <c r="A56" s="103" t="s">
        <v>45</v>
      </c>
      <c r="B56" s="3">
        <v>1399533</v>
      </c>
      <c r="C56" s="3">
        <f>1137373+2345531+3224892+1121433</f>
        <v>7829229</v>
      </c>
      <c r="D56" s="30">
        <v>463720</v>
      </c>
      <c r="E56" s="21"/>
      <c r="F56" s="21"/>
      <c r="G56" s="53"/>
      <c r="H56" s="53"/>
      <c r="I56" s="53"/>
      <c r="J56" s="53"/>
      <c r="K56" s="53"/>
      <c r="L56" s="53"/>
      <c r="M56" s="89"/>
      <c r="N56" s="53"/>
      <c r="O56" s="54">
        <f t="shared" si="11"/>
        <v>9692482</v>
      </c>
      <c r="P56" s="51"/>
    </row>
    <row r="57" spans="1:16" x14ac:dyDescent="0.25">
      <c r="A57" s="40" t="s">
        <v>46</v>
      </c>
      <c r="B57" s="3"/>
      <c r="C57" s="3">
        <v>293000</v>
      </c>
      <c r="D57" s="30">
        <f>366000+366000</f>
        <v>732000</v>
      </c>
      <c r="E57" s="21">
        <f>274000+320000</f>
        <v>594000</v>
      </c>
      <c r="F57" s="21"/>
      <c r="G57" s="63">
        <v>366000</v>
      </c>
      <c r="H57" s="53">
        <v>4802000</v>
      </c>
      <c r="I57" s="53"/>
      <c r="J57" s="27"/>
      <c r="K57" s="3"/>
      <c r="L57" s="3"/>
      <c r="M57" s="93"/>
      <c r="N57" s="4"/>
      <c r="O57" s="54">
        <f t="shared" si="11"/>
        <v>6787000</v>
      </c>
      <c r="P57" s="51"/>
    </row>
    <row r="58" spans="1:16" x14ac:dyDescent="0.25">
      <c r="A58" s="40" t="s">
        <v>47</v>
      </c>
      <c r="B58" s="3">
        <v>11175000</v>
      </c>
      <c r="C58" s="3">
        <v>1011500</v>
      </c>
      <c r="D58" s="30"/>
      <c r="E58" s="21"/>
      <c r="F58" s="21"/>
      <c r="G58" s="21"/>
      <c r="H58" s="21"/>
      <c r="I58" s="21"/>
      <c r="J58" s="21"/>
      <c r="K58" s="21"/>
      <c r="L58" s="21"/>
      <c r="M58" s="94"/>
      <c r="N58" s="21"/>
      <c r="O58" s="54">
        <f t="shared" si="11"/>
        <v>12186500</v>
      </c>
      <c r="P58" s="51"/>
    </row>
    <row r="59" spans="1:16" x14ac:dyDescent="0.25">
      <c r="A59" s="40"/>
      <c r="B59" s="3"/>
      <c r="C59" s="3"/>
      <c r="D59" s="30">
        <f>4079250+8158500+8158500+4079250+2273600+784000</f>
        <v>27533100</v>
      </c>
      <c r="E59" s="21"/>
      <c r="F59" s="21"/>
      <c r="G59" s="21"/>
      <c r="H59" s="53"/>
      <c r="I59" s="8"/>
      <c r="J59" s="27"/>
      <c r="K59" s="3"/>
      <c r="L59" s="3"/>
      <c r="M59" s="93"/>
      <c r="N59" s="4"/>
      <c r="O59" s="54">
        <f t="shared" si="11"/>
        <v>27533100</v>
      </c>
      <c r="P59" s="51"/>
    </row>
    <row r="60" spans="1:16" x14ac:dyDescent="0.25">
      <c r="A60" s="69" t="s">
        <v>107</v>
      </c>
      <c r="B60" s="3"/>
      <c r="C60" s="3"/>
      <c r="D60" s="30"/>
      <c r="E60" s="21"/>
      <c r="F60" s="21"/>
      <c r="G60" s="21"/>
      <c r="H60" s="53"/>
      <c r="I60" s="8">
        <v>388450003.82999998</v>
      </c>
      <c r="J60" s="27"/>
      <c r="K60" s="3"/>
      <c r="L60" s="88">
        <v>190115448.5</v>
      </c>
      <c r="M60" s="93"/>
      <c r="N60" s="4"/>
      <c r="O60" s="54">
        <f t="shared" si="11"/>
        <v>578565452.32999992</v>
      </c>
      <c r="P60" s="51"/>
    </row>
    <row r="61" spans="1:16" x14ac:dyDescent="0.25">
      <c r="A61" s="40" t="s">
        <v>98</v>
      </c>
      <c r="B61" s="3"/>
      <c r="C61" s="3"/>
      <c r="D61" s="30"/>
      <c r="E61" s="21"/>
      <c r="F61" s="21"/>
      <c r="G61" s="21"/>
      <c r="H61" s="53">
        <v>533600</v>
      </c>
      <c r="I61" s="8"/>
      <c r="J61" s="27"/>
      <c r="K61" s="3"/>
      <c r="L61" s="3"/>
      <c r="M61" s="93"/>
      <c r="N61" s="4"/>
      <c r="O61" s="54">
        <f t="shared" si="11"/>
        <v>533600</v>
      </c>
      <c r="P61" s="51"/>
    </row>
    <row r="62" spans="1:16" x14ac:dyDescent="0.25">
      <c r="A62" s="40" t="s">
        <v>48</v>
      </c>
      <c r="B62" s="3"/>
      <c r="C62" s="3"/>
      <c r="D62" s="30">
        <v>2260180</v>
      </c>
      <c r="E62" s="21"/>
      <c r="F62" s="21"/>
      <c r="G62" s="21"/>
      <c r="H62" s="53"/>
      <c r="I62" s="8"/>
      <c r="J62" s="27"/>
      <c r="K62" s="3"/>
      <c r="L62" s="3"/>
      <c r="N62" s="4"/>
      <c r="O62" s="54">
        <f t="shared" si="11"/>
        <v>2260180</v>
      </c>
      <c r="P62" s="51"/>
    </row>
    <row r="63" spans="1:16" ht="30" x14ac:dyDescent="0.25">
      <c r="A63" s="71" t="s">
        <v>108</v>
      </c>
      <c r="B63" s="3"/>
      <c r="C63" s="3"/>
      <c r="D63" s="30"/>
      <c r="E63" s="21"/>
      <c r="F63" s="21"/>
      <c r="G63" s="21"/>
      <c r="H63" s="53">
        <f>42887838+703581</f>
        <v>43591419</v>
      </c>
      <c r="I63" s="8"/>
      <c r="J63" s="27"/>
      <c r="K63" s="3"/>
      <c r="L63" s="3"/>
      <c r="N63" s="4"/>
      <c r="O63" s="54">
        <f t="shared" ref="O63" si="12">SUM(B63:N63)</f>
        <v>43591419</v>
      </c>
      <c r="P63" s="51"/>
    </row>
    <row r="64" spans="1:16" x14ac:dyDescent="0.25">
      <c r="A64" s="49" t="s">
        <v>102</v>
      </c>
      <c r="B64" s="3"/>
      <c r="C64" s="3"/>
      <c r="D64" s="30"/>
      <c r="E64" s="21"/>
      <c r="F64" s="21"/>
      <c r="G64" s="62">
        <f>73489500+499865</f>
        <v>73989365</v>
      </c>
      <c r="H64" s="74">
        <f>369710+15874580+10023290+500309+14662440+6555260+104843010+2247544+417078+373406</f>
        <v>155866627</v>
      </c>
      <c r="I64" s="73">
        <f>13237280+499866+5734170+1123772+385750+120854350</f>
        <v>141835188</v>
      </c>
      <c r="J64" s="85">
        <f>16396450+5705850+499865+1123772+14406180+38266420+380734</f>
        <v>76779271</v>
      </c>
      <c r="K64" s="3">
        <f>585231+1123772+380043</f>
        <v>2089046</v>
      </c>
      <c r="L64" s="3">
        <f>21462+122577</f>
        <v>144039</v>
      </c>
      <c r="N64" s="4"/>
      <c r="O64" s="54">
        <f t="shared" ref="O64" si="13">SUM(B64:N64)</f>
        <v>450703536</v>
      </c>
      <c r="P64" s="51"/>
    </row>
    <row r="65" spans="1:16" x14ac:dyDescent="0.25">
      <c r="A65" s="40" t="s">
        <v>49</v>
      </c>
      <c r="B65" s="3"/>
      <c r="C65" s="3"/>
      <c r="D65" s="30">
        <v>138979190</v>
      </c>
      <c r="E65" s="21">
        <v>125073280</v>
      </c>
      <c r="F65" s="21"/>
      <c r="G65" s="21"/>
      <c r="H65" s="53"/>
      <c r="I65" s="8"/>
      <c r="J65" s="27"/>
      <c r="K65" s="3"/>
      <c r="L65" s="3"/>
      <c r="M65" s="93"/>
      <c r="N65" s="4"/>
      <c r="O65" s="54">
        <f t="shared" si="11"/>
        <v>264052470</v>
      </c>
      <c r="P65" s="51"/>
    </row>
    <row r="66" spans="1:16" x14ac:dyDescent="0.25">
      <c r="A66" s="49" t="s">
        <v>100</v>
      </c>
      <c r="B66" s="3"/>
      <c r="C66" s="3"/>
      <c r="D66" s="30"/>
      <c r="E66" s="21"/>
      <c r="F66" s="21"/>
      <c r="G66" s="21"/>
      <c r="H66" s="21">
        <f>3133756.71+3133756.71</f>
        <v>6267513.4199999999</v>
      </c>
      <c r="I66" s="21"/>
      <c r="J66" s="82">
        <v>6267513.4199999999</v>
      </c>
      <c r="K66" s="21">
        <v>3133756.71</v>
      </c>
      <c r="L66" s="21">
        <v>3133756.71</v>
      </c>
      <c r="M66" s="94">
        <v>3133756.71</v>
      </c>
      <c r="N66" s="21"/>
      <c r="O66" s="54">
        <f t="shared" si="11"/>
        <v>21936296.970000003</v>
      </c>
      <c r="P66" s="51"/>
    </row>
    <row r="67" spans="1:16" x14ac:dyDescent="0.25">
      <c r="A67" s="37" t="s">
        <v>50</v>
      </c>
      <c r="B67" s="14">
        <f t="shared" ref="B67:O67" si="14">SUM(B46:B66)</f>
        <v>37572772</v>
      </c>
      <c r="C67" s="14">
        <f t="shared" si="14"/>
        <v>149207759.22</v>
      </c>
      <c r="D67" s="14">
        <f t="shared" si="14"/>
        <v>315321262</v>
      </c>
      <c r="E67" s="14">
        <f t="shared" si="14"/>
        <v>156251493.92000002</v>
      </c>
      <c r="F67" s="47">
        <f t="shared" si="14"/>
        <v>0</v>
      </c>
      <c r="G67" s="14">
        <f t="shared" si="14"/>
        <v>77863465.819999993</v>
      </c>
      <c r="H67" s="14">
        <f t="shared" si="14"/>
        <v>211061159.41999999</v>
      </c>
      <c r="I67" s="14">
        <f t="shared" si="14"/>
        <v>530285191.82999998</v>
      </c>
      <c r="J67" s="14">
        <f t="shared" si="14"/>
        <v>83046784.420000002</v>
      </c>
      <c r="K67" s="14">
        <f t="shared" si="14"/>
        <v>5222802.71</v>
      </c>
      <c r="L67" s="14">
        <f t="shared" si="14"/>
        <v>193393244.21000001</v>
      </c>
      <c r="M67" s="14">
        <f t="shared" si="14"/>
        <v>3133756.71</v>
      </c>
      <c r="N67" s="14">
        <f t="shared" si="14"/>
        <v>0</v>
      </c>
      <c r="O67" s="14">
        <f t="shared" si="14"/>
        <v>1762359692.26</v>
      </c>
      <c r="P67" s="51"/>
    </row>
    <row r="68" spans="1:16" x14ac:dyDescent="0.25">
      <c r="A68" s="42" t="s">
        <v>51</v>
      </c>
      <c r="B68" s="16"/>
      <c r="C68" s="15"/>
      <c r="D68" s="30"/>
      <c r="E68" s="21"/>
      <c r="F68" s="21"/>
      <c r="G68" s="21"/>
      <c r="H68" s="53"/>
      <c r="I68" s="16"/>
      <c r="J68" s="28"/>
      <c r="K68" s="15"/>
      <c r="L68" s="15"/>
      <c r="M68" s="93"/>
      <c r="N68" s="4"/>
      <c r="O68" s="54">
        <f t="shared" ref="O68:O75" si="15">SUM(B68:N68)</f>
        <v>0</v>
      </c>
      <c r="P68" s="51"/>
    </row>
    <row r="69" spans="1:16" x14ac:dyDescent="0.25">
      <c r="A69" s="40" t="s">
        <v>52</v>
      </c>
      <c r="B69" s="8"/>
      <c r="C69" s="3">
        <v>4828374</v>
      </c>
      <c r="D69" s="30">
        <v>42150860</v>
      </c>
      <c r="E69" s="21"/>
      <c r="F69" s="21"/>
      <c r="G69" s="21"/>
      <c r="H69" s="21"/>
      <c r="I69" s="21"/>
      <c r="J69" s="21"/>
      <c r="K69" s="21"/>
      <c r="L69" s="21"/>
      <c r="M69" s="94"/>
      <c r="N69" s="21"/>
      <c r="O69" s="54">
        <f t="shared" si="15"/>
        <v>46979234</v>
      </c>
      <c r="P69" s="51"/>
    </row>
    <row r="70" spans="1:16" x14ac:dyDescent="0.25">
      <c r="A70" s="40" t="s">
        <v>96</v>
      </c>
      <c r="B70" s="8"/>
      <c r="C70" s="3"/>
      <c r="D70" s="30"/>
      <c r="E70" s="21"/>
      <c r="F70" s="21"/>
      <c r="G70" s="21"/>
      <c r="H70" s="21">
        <v>10235270</v>
      </c>
      <c r="I70" s="21"/>
      <c r="J70" s="21"/>
      <c r="K70" s="21"/>
      <c r="L70" s="21"/>
      <c r="M70" s="94"/>
      <c r="N70" s="21"/>
      <c r="O70" s="54">
        <f t="shared" si="15"/>
        <v>10235270</v>
      </c>
      <c r="P70" s="51"/>
    </row>
    <row r="71" spans="1:16" x14ac:dyDescent="0.25">
      <c r="A71" s="40" t="s">
        <v>57</v>
      </c>
      <c r="B71" s="8">
        <f>20734000+3371000+4962000+5826000</f>
        <v>34893000</v>
      </c>
      <c r="C71" s="3">
        <f>753200+3800000+947000+13056000</f>
        <v>18556200</v>
      </c>
      <c r="D71" s="30">
        <f>3180000+16046000+4281000+3863100</f>
        <v>27370100</v>
      </c>
      <c r="E71" s="21">
        <f>4647800+3140000+20271000+4987000</f>
        <v>33045800</v>
      </c>
      <c r="F71" s="21"/>
      <c r="G71" s="62">
        <f>451900+1906000+108000+8000</f>
        <v>2473900</v>
      </c>
      <c r="H71" s="53">
        <f>1320000+244000+101900+6879+4094.57</f>
        <v>1676873.57</v>
      </c>
      <c r="I71" s="73">
        <f>474800+1343000+371000+459000</f>
        <v>2647800</v>
      </c>
      <c r="J71" s="27">
        <f>8331300+96000+1690000</f>
        <v>10117300</v>
      </c>
      <c r="K71" s="3">
        <f>308700+136000+1897000</f>
        <v>2341700</v>
      </c>
      <c r="L71" s="3">
        <f>589900+1838000+285000+73000</f>
        <v>2785900</v>
      </c>
      <c r="M71" s="93">
        <f>4496100+48000+1505000</f>
        <v>6049100</v>
      </c>
      <c r="N71" s="4"/>
      <c r="O71" s="54">
        <f t="shared" si="15"/>
        <v>141957673.56999999</v>
      </c>
      <c r="P71" s="51"/>
    </row>
    <row r="72" spans="1:16" x14ac:dyDescent="0.25">
      <c r="A72" s="40" t="s">
        <v>53</v>
      </c>
      <c r="B72" s="8">
        <v>3275217</v>
      </c>
      <c r="C72" s="3">
        <f>78198+67982+81+2460827</f>
        <v>2607088</v>
      </c>
      <c r="D72" s="30">
        <v>3737443</v>
      </c>
      <c r="E72" s="21">
        <f>877092+1895+76798+2835162.89</f>
        <v>3790947.89</v>
      </c>
      <c r="F72" s="21">
        <f>10082037+568905.89</f>
        <v>10650942.890000001</v>
      </c>
      <c r="G72" s="62">
        <f>660885+162612.45</f>
        <v>823497.45</v>
      </c>
      <c r="H72" s="21">
        <v>1193464</v>
      </c>
      <c r="I72" s="21">
        <f>2373658+12570+190.45</f>
        <v>2386418.4500000002</v>
      </c>
      <c r="J72" s="21">
        <f>747361+19323+12989-18927</f>
        <v>760746</v>
      </c>
      <c r="K72" s="21">
        <f>299132+12898</f>
        <v>312030</v>
      </c>
      <c r="L72" s="21">
        <f>1110949+12390</f>
        <v>1123339</v>
      </c>
      <c r="M72" s="94"/>
      <c r="N72" s="21"/>
      <c r="O72" s="54">
        <f t="shared" si="15"/>
        <v>30661133.68</v>
      </c>
      <c r="P72" s="51"/>
    </row>
    <row r="73" spans="1:16" x14ac:dyDescent="0.25">
      <c r="A73" s="40" t="s">
        <v>111</v>
      </c>
      <c r="B73" s="8"/>
      <c r="C73" s="3">
        <v>2613300</v>
      </c>
      <c r="D73" s="30">
        <v>5000000</v>
      </c>
      <c r="E73" s="21"/>
      <c r="F73" s="21"/>
      <c r="G73" s="53"/>
      <c r="H73" s="53"/>
      <c r="I73" s="8"/>
      <c r="J73" s="27"/>
      <c r="K73" s="3"/>
      <c r="L73" s="3">
        <v>12348000</v>
      </c>
      <c r="M73" s="93"/>
      <c r="N73" s="4"/>
      <c r="O73" s="54">
        <f t="shared" si="15"/>
        <v>19961300</v>
      </c>
      <c r="P73" s="51"/>
    </row>
    <row r="74" spans="1:16" x14ac:dyDescent="0.25">
      <c r="A74" s="40" t="s">
        <v>59</v>
      </c>
      <c r="B74" s="8"/>
      <c r="C74" s="3">
        <v>221000</v>
      </c>
      <c r="D74" s="30">
        <f>221000+1960000+221000</f>
        <v>2402000</v>
      </c>
      <c r="E74" s="21"/>
      <c r="F74" s="21"/>
      <c r="G74" s="53"/>
      <c r="H74" s="53"/>
      <c r="I74" s="3"/>
      <c r="J74" s="23"/>
      <c r="K74" s="3"/>
      <c r="L74" s="3"/>
      <c r="M74" s="93"/>
      <c r="N74" s="4"/>
      <c r="O74" s="54">
        <f t="shared" si="15"/>
        <v>2623000</v>
      </c>
      <c r="P74" s="51"/>
    </row>
    <row r="75" spans="1:16" x14ac:dyDescent="0.25">
      <c r="A75" s="42" t="s">
        <v>54</v>
      </c>
      <c r="B75" s="14">
        <f t="shared" ref="B75:N75" si="16">SUM(B69:B74)</f>
        <v>38168217</v>
      </c>
      <c r="C75" s="14">
        <f t="shared" si="16"/>
        <v>28825962</v>
      </c>
      <c r="D75" s="14">
        <f t="shared" si="16"/>
        <v>80660403</v>
      </c>
      <c r="E75" s="14">
        <f t="shared" si="16"/>
        <v>36836747.890000001</v>
      </c>
      <c r="F75" s="14">
        <f t="shared" si="16"/>
        <v>10650942.890000001</v>
      </c>
      <c r="G75" s="14">
        <f t="shared" si="16"/>
        <v>3297397.45</v>
      </c>
      <c r="H75" s="14">
        <f t="shared" si="16"/>
        <v>13105607.57</v>
      </c>
      <c r="I75" s="14">
        <f t="shared" si="16"/>
        <v>5034218.45</v>
      </c>
      <c r="J75" s="14">
        <f t="shared" si="16"/>
        <v>10878046</v>
      </c>
      <c r="K75" s="14">
        <f t="shared" si="16"/>
        <v>2653730</v>
      </c>
      <c r="L75" s="14">
        <f t="shared" si="16"/>
        <v>16257239</v>
      </c>
      <c r="M75" s="14">
        <f t="shared" si="16"/>
        <v>6049100</v>
      </c>
      <c r="N75" s="14">
        <f t="shared" si="16"/>
        <v>0</v>
      </c>
      <c r="O75" s="54">
        <f t="shared" si="15"/>
        <v>252417611.24999994</v>
      </c>
      <c r="P75" s="51"/>
    </row>
    <row r="76" spans="1:16" x14ac:dyDescent="0.25">
      <c r="A76" s="42"/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54"/>
      <c r="P76" s="51"/>
    </row>
    <row r="77" spans="1:16" x14ac:dyDescent="0.25">
      <c r="A77" s="37" t="s">
        <v>55</v>
      </c>
      <c r="B77" s="14">
        <f t="shared" ref="B77:O77" si="17">+B40+B44+B67+B75</f>
        <v>228334617</v>
      </c>
      <c r="C77" s="14">
        <f t="shared" si="17"/>
        <v>435648076.22000003</v>
      </c>
      <c r="D77" s="14">
        <f t="shared" si="17"/>
        <v>771452384</v>
      </c>
      <c r="E77" s="14">
        <f t="shared" si="17"/>
        <v>551459109.81000006</v>
      </c>
      <c r="F77" s="14">
        <f t="shared" si="17"/>
        <v>2596224350.8899999</v>
      </c>
      <c r="G77" s="14">
        <f t="shared" si="17"/>
        <v>145775247.26999998</v>
      </c>
      <c r="H77" s="14">
        <f t="shared" si="17"/>
        <v>261233234.98999998</v>
      </c>
      <c r="I77" s="14">
        <f t="shared" si="17"/>
        <v>572572045.39999998</v>
      </c>
      <c r="J77" s="79">
        <f t="shared" si="17"/>
        <v>157225697.42000002</v>
      </c>
      <c r="K77" s="14">
        <f t="shared" si="17"/>
        <v>44968132.710000001</v>
      </c>
      <c r="L77" s="14">
        <f t="shared" si="17"/>
        <v>250157583.21000001</v>
      </c>
      <c r="M77" s="14">
        <f t="shared" si="17"/>
        <v>43514832.710000001</v>
      </c>
      <c r="N77" s="14">
        <f t="shared" si="17"/>
        <v>5000000</v>
      </c>
      <c r="O77" s="14">
        <f t="shared" si="17"/>
        <v>6063565311.6300001</v>
      </c>
      <c r="P77" s="36"/>
    </row>
    <row r="78" spans="1:16" x14ac:dyDescent="0.25">
      <c r="A78" s="37" t="s">
        <v>56</v>
      </c>
      <c r="B78" s="5">
        <f t="shared" ref="B78:O78" si="18">+B18-B77</f>
        <v>864799433.0999999</v>
      </c>
      <c r="C78" s="5">
        <f t="shared" si="18"/>
        <v>1040482295.8799999</v>
      </c>
      <c r="D78" s="5">
        <f t="shared" si="18"/>
        <v>862082136.87999988</v>
      </c>
      <c r="E78" s="5">
        <f t="shared" si="18"/>
        <v>317601317.18999994</v>
      </c>
      <c r="F78" s="77">
        <f t="shared" si="18"/>
        <v>343078365.61000013</v>
      </c>
      <c r="G78" s="5">
        <f t="shared" si="18"/>
        <v>564652684.91999996</v>
      </c>
      <c r="H78" s="77">
        <f t="shared" si="18"/>
        <v>479011555.87999988</v>
      </c>
      <c r="I78" s="5">
        <f t="shared" si="18"/>
        <v>477706784.77999985</v>
      </c>
      <c r="J78" s="77">
        <f t="shared" si="18"/>
        <v>595261065.3599999</v>
      </c>
      <c r="K78" s="77">
        <f t="shared" si="18"/>
        <v>788427616.64999986</v>
      </c>
      <c r="L78" s="79">
        <f t="shared" si="18"/>
        <v>538862175.43999982</v>
      </c>
      <c r="M78" s="14">
        <f t="shared" si="18"/>
        <v>694810375.72999978</v>
      </c>
      <c r="N78" s="5">
        <f t="shared" si="18"/>
        <v>689810375.72999978</v>
      </c>
      <c r="O78" s="5">
        <f t="shared" si="18"/>
        <v>907277980.54999924</v>
      </c>
      <c r="P78" s="51"/>
    </row>
    <row r="80" spans="1:16" x14ac:dyDescent="0.25">
      <c r="A80" s="59" t="s">
        <v>109</v>
      </c>
      <c r="D80" s="43">
        <v>697092954</v>
      </c>
      <c r="E80" s="54">
        <f>303132834-E78</f>
        <v>-14468483.189999938</v>
      </c>
      <c r="F80" s="80"/>
      <c r="I80" s="80">
        <f>40778442.98+436927945.8+396</f>
        <v>477706784.78000003</v>
      </c>
      <c r="J80" s="86">
        <v>595261065.36000001</v>
      </c>
      <c r="K80" s="86">
        <v>788427616.64999998</v>
      </c>
      <c r="M80" s="98"/>
    </row>
    <row r="81" spans="1:12" x14ac:dyDescent="0.25">
      <c r="D81" s="45"/>
      <c r="F81" s="54"/>
      <c r="G81" s="61"/>
      <c r="I81" s="81">
        <f>+I78-I80</f>
        <v>0</v>
      </c>
      <c r="J81" s="87">
        <f>+J78-J80</f>
        <v>0</v>
      </c>
      <c r="K81" s="81">
        <f>+K78-K80</f>
        <v>0</v>
      </c>
    </row>
    <row r="82" spans="1:12" ht="45" x14ac:dyDescent="0.25">
      <c r="A82" s="70" t="s">
        <v>114</v>
      </c>
      <c r="D82" s="44">
        <f>+D78-D80</f>
        <v>164989182.87999988</v>
      </c>
      <c r="J82" s="54">
        <f>F78+J78</f>
        <v>938339430.97000003</v>
      </c>
      <c r="L82" s="50">
        <v>544948074.44000006</v>
      </c>
    </row>
    <row r="83" spans="1:12" x14ac:dyDescent="0.25">
      <c r="D83" s="44"/>
      <c r="F83" s="81">
        <f>+F78-F80</f>
        <v>343078365.61000013</v>
      </c>
      <c r="G83" s="61"/>
      <c r="L83" s="54">
        <f>L82-L78</f>
        <v>6085899.0000002384</v>
      </c>
    </row>
    <row r="84" spans="1:12" x14ac:dyDescent="0.25">
      <c r="D84" s="43"/>
    </row>
    <row r="85" spans="1:12" x14ac:dyDescent="0.25">
      <c r="D85" s="43"/>
    </row>
    <row r="86" spans="1:12" x14ac:dyDescent="0.25">
      <c r="D86" s="44"/>
    </row>
    <row r="87" spans="1:12" x14ac:dyDescent="0.25">
      <c r="D87" s="43"/>
    </row>
    <row r="88" spans="1:12" x14ac:dyDescent="0.25">
      <c r="D88" s="45"/>
    </row>
    <row r="89" spans="1:12" x14ac:dyDescent="0.25">
      <c r="D89" s="46"/>
    </row>
  </sheetData>
  <mergeCells count="2">
    <mergeCell ref="A1:N1"/>
    <mergeCell ref="A3:O3"/>
  </mergeCells>
  <pageMargins left="0.98425196850393704" right="0.98425196850393704" top="0.98425196850393704" bottom="0.98425196850393704" header="0.51181102362204722" footer="0.51181102362204722"/>
  <pageSetup scale="41" fitToHeight="0" orientation="landscape" r:id="rId1"/>
  <rowBreaks count="2" manualBreakCount="2">
    <brk id="82" max="16383" man="1"/>
    <brk id="83" max="16383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54"/>
  <sheetViews>
    <sheetView topLeftCell="C4" workbookViewId="0">
      <selection activeCell="P56" sqref="P56"/>
    </sheetView>
  </sheetViews>
  <sheetFormatPr baseColWidth="10" defaultRowHeight="15" x14ac:dyDescent="0.25"/>
  <cols>
    <col min="1" max="1" width="27.5703125" customWidth="1"/>
    <col min="2" max="2" width="12.42578125" style="11" customWidth="1"/>
    <col min="3" max="3" width="12" style="11" customWidth="1"/>
    <col min="4" max="4" width="12.140625" style="11" customWidth="1"/>
    <col min="5" max="5" width="12.28515625" style="11" customWidth="1"/>
    <col min="6" max="6" width="12.140625" style="11" customWidth="1"/>
    <col min="7" max="7" width="14.140625" style="11" customWidth="1"/>
    <col min="8" max="8" width="13.5703125" style="11" customWidth="1"/>
    <col min="9" max="9" width="13.85546875" style="11" customWidth="1"/>
    <col min="10" max="10" width="14.7109375" style="11" customWidth="1"/>
    <col min="11" max="11" width="11.42578125" style="11"/>
    <col min="12" max="14" width="0" hidden="1" customWidth="1"/>
    <col min="17" max="18" width="14.140625" bestFit="1" customWidth="1"/>
    <col min="257" max="257" width="27.5703125" customWidth="1"/>
    <col min="258" max="258" width="12.42578125" customWidth="1"/>
    <col min="259" max="259" width="12" customWidth="1"/>
    <col min="260" max="260" width="12.140625" customWidth="1"/>
    <col min="261" max="261" width="12.28515625" customWidth="1"/>
    <col min="262" max="262" width="12.140625" customWidth="1"/>
    <col min="263" max="263" width="14.140625" customWidth="1"/>
    <col min="264" max="264" width="13.5703125" customWidth="1"/>
    <col min="265" max="265" width="13.85546875" customWidth="1"/>
    <col min="266" max="266" width="14.7109375" customWidth="1"/>
    <col min="513" max="513" width="27.5703125" customWidth="1"/>
    <col min="514" max="514" width="12.42578125" customWidth="1"/>
    <col min="515" max="515" width="12" customWidth="1"/>
    <col min="516" max="516" width="12.140625" customWidth="1"/>
    <col min="517" max="517" width="12.28515625" customWidth="1"/>
    <col min="518" max="518" width="12.140625" customWidth="1"/>
    <col min="519" max="519" width="14.140625" customWidth="1"/>
    <col min="520" max="520" width="13.5703125" customWidth="1"/>
    <col min="521" max="521" width="13.85546875" customWidth="1"/>
    <col min="522" max="522" width="14.7109375" customWidth="1"/>
    <col min="769" max="769" width="27.5703125" customWidth="1"/>
    <col min="770" max="770" width="12.42578125" customWidth="1"/>
    <col min="771" max="771" width="12" customWidth="1"/>
    <col min="772" max="772" width="12.140625" customWidth="1"/>
    <col min="773" max="773" width="12.28515625" customWidth="1"/>
    <col min="774" max="774" width="12.140625" customWidth="1"/>
    <col min="775" max="775" width="14.140625" customWidth="1"/>
    <col min="776" max="776" width="13.5703125" customWidth="1"/>
    <col min="777" max="777" width="13.85546875" customWidth="1"/>
    <col min="778" max="778" width="14.7109375" customWidth="1"/>
    <col min="1025" max="1025" width="27.5703125" customWidth="1"/>
    <col min="1026" max="1026" width="12.42578125" customWidth="1"/>
    <col min="1027" max="1027" width="12" customWidth="1"/>
    <col min="1028" max="1028" width="12.140625" customWidth="1"/>
    <col min="1029" max="1029" width="12.28515625" customWidth="1"/>
    <col min="1030" max="1030" width="12.140625" customWidth="1"/>
    <col min="1031" max="1031" width="14.140625" customWidth="1"/>
    <col min="1032" max="1032" width="13.5703125" customWidth="1"/>
    <col min="1033" max="1033" width="13.85546875" customWidth="1"/>
    <col min="1034" max="1034" width="14.7109375" customWidth="1"/>
    <col min="1281" max="1281" width="27.5703125" customWidth="1"/>
    <col min="1282" max="1282" width="12.42578125" customWidth="1"/>
    <col min="1283" max="1283" width="12" customWidth="1"/>
    <col min="1284" max="1284" width="12.140625" customWidth="1"/>
    <col min="1285" max="1285" width="12.28515625" customWidth="1"/>
    <col min="1286" max="1286" width="12.140625" customWidth="1"/>
    <col min="1287" max="1287" width="14.140625" customWidth="1"/>
    <col min="1288" max="1288" width="13.5703125" customWidth="1"/>
    <col min="1289" max="1289" width="13.85546875" customWidth="1"/>
    <col min="1290" max="1290" width="14.7109375" customWidth="1"/>
    <col min="1537" max="1537" width="27.5703125" customWidth="1"/>
    <col min="1538" max="1538" width="12.42578125" customWidth="1"/>
    <col min="1539" max="1539" width="12" customWidth="1"/>
    <col min="1540" max="1540" width="12.140625" customWidth="1"/>
    <col min="1541" max="1541" width="12.28515625" customWidth="1"/>
    <col min="1542" max="1542" width="12.140625" customWidth="1"/>
    <col min="1543" max="1543" width="14.140625" customWidth="1"/>
    <col min="1544" max="1544" width="13.5703125" customWidth="1"/>
    <col min="1545" max="1545" width="13.85546875" customWidth="1"/>
    <col min="1546" max="1546" width="14.7109375" customWidth="1"/>
    <col min="1793" max="1793" width="27.5703125" customWidth="1"/>
    <col min="1794" max="1794" width="12.42578125" customWidth="1"/>
    <col min="1795" max="1795" width="12" customWidth="1"/>
    <col min="1796" max="1796" width="12.140625" customWidth="1"/>
    <col min="1797" max="1797" width="12.28515625" customWidth="1"/>
    <col min="1798" max="1798" width="12.140625" customWidth="1"/>
    <col min="1799" max="1799" width="14.140625" customWidth="1"/>
    <col min="1800" max="1800" width="13.5703125" customWidth="1"/>
    <col min="1801" max="1801" width="13.85546875" customWidth="1"/>
    <col min="1802" max="1802" width="14.7109375" customWidth="1"/>
    <col min="2049" max="2049" width="27.5703125" customWidth="1"/>
    <col min="2050" max="2050" width="12.42578125" customWidth="1"/>
    <col min="2051" max="2051" width="12" customWidth="1"/>
    <col min="2052" max="2052" width="12.140625" customWidth="1"/>
    <col min="2053" max="2053" width="12.28515625" customWidth="1"/>
    <col min="2054" max="2054" width="12.140625" customWidth="1"/>
    <col min="2055" max="2055" width="14.140625" customWidth="1"/>
    <col min="2056" max="2056" width="13.5703125" customWidth="1"/>
    <col min="2057" max="2057" width="13.85546875" customWidth="1"/>
    <col min="2058" max="2058" width="14.7109375" customWidth="1"/>
    <col min="2305" max="2305" width="27.5703125" customWidth="1"/>
    <col min="2306" max="2306" width="12.42578125" customWidth="1"/>
    <col min="2307" max="2307" width="12" customWidth="1"/>
    <col min="2308" max="2308" width="12.140625" customWidth="1"/>
    <col min="2309" max="2309" width="12.28515625" customWidth="1"/>
    <col min="2310" max="2310" width="12.140625" customWidth="1"/>
    <col min="2311" max="2311" width="14.140625" customWidth="1"/>
    <col min="2312" max="2312" width="13.5703125" customWidth="1"/>
    <col min="2313" max="2313" width="13.85546875" customWidth="1"/>
    <col min="2314" max="2314" width="14.7109375" customWidth="1"/>
    <col min="2561" max="2561" width="27.5703125" customWidth="1"/>
    <col min="2562" max="2562" width="12.42578125" customWidth="1"/>
    <col min="2563" max="2563" width="12" customWidth="1"/>
    <col min="2564" max="2564" width="12.140625" customWidth="1"/>
    <col min="2565" max="2565" width="12.28515625" customWidth="1"/>
    <col min="2566" max="2566" width="12.140625" customWidth="1"/>
    <col min="2567" max="2567" width="14.140625" customWidth="1"/>
    <col min="2568" max="2568" width="13.5703125" customWidth="1"/>
    <col min="2569" max="2569" width="13.85546875" customWidth="1"/>
    <col min="2570" max="2570" width="14.7109375" customWidth="1"/>
    <col min="2817" max="2817" width="27.5703125" customWidth="1"/>
    <col min="2818" max="2818" width="12.42578125" customWidth="1"/>
    <col min="2819" max="2819" width="12" customWidth="1"/>
    <col min="2820" max="2820" width="12.140625" customWidth="1"/>
    <col min="2821" max="2821" width="12.28515625" customWidth="1"/>
    <col min="2822" max="2822" width="12.140625" customWidth="1"/>
    <col min="2823" max="2823" width="14.140625" customWidth="1"/>
    <col min="2824" max="2824" width="13.5703125" customWidth="1"/>
    <col min="2825" max="2825" width="13.85546875" customWidth="1"/>
    <col min="2826" max="2826" width="14.7109375" customWidth="1"/>
    <col min="3073" max="3073" width="27.5703125" customWidth="1"/>
    <col min="3074" max="3074" width="12.42578125" customWidth="1"/>
    <col min="3075" max="3075" width="12" customWidth="1"/>
    <col min="3076" max="3076" width="12.140625" customWidth="1"/>
    <col min="3077" max="3077" width="12.28515625" customWidth="1"/>
    <col min="3078" max="3078" width="12.140625" customWidth="1"/>
    <col min="3079" max="3079" width="14.140625" customWidth="1"/>
    <col min="3080" max="3080" width="13.5703125" customWidth="1"/>
    <col min="3081" max="3081" width="13.85546875" customWidth="1"/>
    <col min="3082" max="3082" width="14.7109375" customWidth="1"/>
    <col min="3329" max="3329" width="27.5703125" customWidth="1"/>
    <col min="3330" max="3330" width="12.42578125" customWidth="1"/>
    <col min="3331" max="3331" width="12" customWidth="1"/>
    <col min="3332" max="3332" width="12.140625" customWidth="1"/>
    <col min="3333" max="3333" width="12.28515625" customWidth="1"/>
    <col min="3334" max="3334" width="12.140625" customWidth="1"/>
    <col min="3335" max="3335" width="14.140625" customWidth="1"/>
    <col min="3336" max="3336" width="13.5703125" customWidth="1"/>
    <col min="3337" max="3337" width="13.85546875" customWidth="1"/>
    <col min="3338" max="3338" width="14.7109375" customWidth="1"/>
    <col min="3585" max="3585" width="27.5703125" customWidth="1"/>
    <col min="3586" max="3586" width="12.42578125" customWidth="1"/>
    <col min="3587" max="3587" width="12" customWidth="1"/>
    <col min="3588" max="3588" width="12.140625" customWidth="1"/>
    <col min="3589" max="3589" width="12.28515625" customWidth="1"/>
    <col min="3590" max="3590" width="12.140625" customWidth="1"/>
    <col min="3591" max="3591" width="14.140625" customWidth="1"/>
    <col min="3592" max="3592" width="13.5703125" customWidth="1"/>
    <col min="3593" max="3593" width="13.85546875" customWidth="1"/>
    <col min="3594" max="3594" width="14.7109375" customWidth="1"/>
    <col min="3841" max="3841" width="27.5703125" customWidth="1"/>
    <col min="3842" max="3842" width="12.42578125" customWidth="1"/>
    <col min="3843" max="3843" width="12" customWidth="1"/>
    <col min="3844" max="3844" width="12.140625" customWidth="1"/>
    <col min="3845" max="3845" width="12.28515625" customWidth="1"/>
    <col min="3846" max="3846" width="12.140625" customWidth="1"/>
    <col min="3847" max="3847" width="14.140625" customWidth="1"/>
    <col min="3848" max="3848" width="13.5703125" customWidth="1"/>
    <col min="3849" max="3849" width="13.85546875" customWidth="1"/>
    <col min="3850" max="3850" width="14.7109375" customWidth="1"/>
    <col min="4097" max="4097" width="27.5703125" customWidth="1"/>
    <col min="4098" max="4098" width="12.42578125" customWidth="1"/>
    <col min="4099" max="4099" width="12" customWidth="1"/>
    <col min="4100" max="4100" width="12.140625" customWidth="1"/>
    <col min="4101" max="4101" width="12.28515625" customWidth="1"/>
    <col min="4102" max="4102" width="12.140625" customWidth="1"/>
    <col min="4103" max="4103" width="14.140625" customWidth="1"/>
    <col min="4104" max="4104" width="13.5703125" customWidth="1"/>
    <col min="4105" max="4105" width="13.85546875" customWidth="1"/>
    <col min="4106" max="4106" width="14.7109375" customWidth="1"/>
    <col min="4353" max="4353" width="27.5703125" customWidth="1"/>
    <col min="4354" max="4354" width="12.42578125" customWidth="1"/>
    <col min="4355" max="4355" width="12" customWidth="1"/>
    <col min="4356" max="4356" width="12.140625" customWidth="1"/>
    <col min="4357" max="4357" width="12.28515625" customWidth="1"/>
    <col min="4358" max="4358" width="12.140625" customWidth="1"/>
    <col min="4359" max="4359" width="14.140625" customWidth="1"/>
    <col min="4360" max="4360" width="13.5703125" customWidth="1"/>
    <col min="4361" max="4361" width="13.85546875" customWidth="1"/>
    <col min="4362" max="4362" width="14.7109375" customWidth="1"/>
    <col min="4609" max="4609" width="27.5703125" customWidth="1"/>
    <col min="4610" max="4610" width="12.42578125" customWidth="1"/>
    <col min="4611" max="4611" width="12" customWidth="1"/>
    <col min="4612" max="4612" width="12.140625" customWidth="1"/>
    <col min="4613" max="4613" width="12.28515625" customWidth="1"/>
    <col min="4614" max="4614" width="12.140625" customWidth="1"/>
    <col min="4615" max="4615" width="14.140625" customWidth="1"/>
    <col min="4616" max="4616" width="13.5703125" customWidth="1"/>
    <col min="4617" max="4617" width="13.85546875" customWidth="1"/>
    <col min="4618" max="4618" width="14.7109375" customWidth="1"/>
    <col min="4865" max="4865" width="27.5703125" customWidth="1"/>
    <col min="4866" max="4866" width="12.42578125" customWidth="1"/>
    <col min="4867" max="4867" width="12" customWidth="1"/>
    <col min="4868" max="4868" width="12.140625" customWidth="1"/>
    <col min="4869" max="4869" width="12.28515625" customWidth="1"/>
    <col min="4870" max="4870" width="12.140625" customWidth="1"/>
    <col min="4871" max="4871" width="14.140625" customWidth="1"/>
    <col min="4872" max="4872" width="13.5703125" customWidth="1"/>
    <col min="4873" max="4873" width="13.85546875" customWidth="1"/>
    <col min="4874" max="4874" width="14.7109375" customWidth="1"/>
    <col min="5121" max="5121" width="27.5703125" customWidth="1"/>
    <col min="5122" max="5122" width="12.42578125" customWidth="1"/>
    <col min="5123" max="5123" width="12" customWidth="1"/>
    <col min="5124" max="5124" width="12.140625" customWidth="1"/>
    <col min="5125" max="5125" width="12.28515625" customWidth="1"/>
    <col min="5126" max="5126" width="12.140625" customWidth="1"/>
    <col min="5127" max="5127" width="14.140625" customWidth="1"/>
    <col min="5128" max="5128" width="13.5703125" customWidth="1"/>
    <col min="5129" max="5129" width="13.85546875" customWidth="1"/>
    <col min="5130" max="5130" width="14.7109375" customWidth="1"/>
    <col min="5377" max="5377" width="27.5703125" customWidth="1"/>
    <col min="5378" max="5378" width="12.42578125" customWidth="1"/>
    <col min="5379" max="5379" width="12" customWidth="1"/>
    <col min="5380" max="5380" width="12.140625" customWidth="1"/>
    <col min="5381" max="5381" width="12.28515625" customWidth="1"/>
    <col min="5382" max="5382" width="12.140625" customWidth="1"/>
    <col min="5383" max="5383" width="14.140625" customWidth="1"/>
    <col min="5384" max="5384" width="13.5703125" customWidth="1"/>
    <col min="5385" max="5385" width="13.85546875" customWidth="1"/>
    <col min="5386" max="5386" width="14.7109375" customWidth="1"/>
    <col min="5633" max="5633" width="27.5703125" customWidth="1"/>
    <col min="5634" max="5634" width="12.42578125" customWidth="1"/>
    <col min="5635" max="5635" width="12" customWidth="1"/>
    <col min="5636" max="5636" width="12.140625" customWidth="1"/>
    <col min="5637" max="5637" width="12.28515625" customWidth="1"/>
    <col min="5638" max="5638" width="12.140625" customWidth="1"/>
    <col min="5639" max="5639" width="14.140625" customWidth="1"/>
    <col min="5640" max="5640" width="13.5703125" customWidth="1"/>
    <col min="5641" max="5641" width="13.85546875" customWidth="1"/>
    <col min="5642" max="5642" width="14.7109375" customWidth="1"/>
    <col min="5889" max="5889" width="27.5703125" customWidth="1"/>
    <col min="5890" max="5890" width="12.42578125" customWidth="1"/>
    <col min="5891" max="5891" width="12" customWidth="1"/>
    <col min="5892" max="5892" width="12.140625" customWidth="1"/>
    <col min="5893" max="5893" width="12.28515625" customWidth="1"/>
    <col min="5894" max="5894" width="12.140625" customWidth="1"/>
    <col min="5895" max="5895" width="14.140625" customWidth="1"/>
    <col min="5896" max="5896" width="13.5703125" customWidth="1"/>
    <col min="5897" max="5897" width="13.85546875" customWidth="1"/>
    <col min="5898" max="5898" width="14.7109375" customWidth="1"/>
    <col min="6145" max="6145" width="27.5703125" customWidth="1"/>
    <col min="6146" max="6146" width="12.42578125" customWidth="1"/>
    <col min="6147" max="6147" width="12" customWidth="1"/>
    <col min="6148" max="6148" width="12.140625" customWidth="1"/>
    <col min="6149" max="6149" width="12.28515625" customWidth="1"/>
    <col min="6150" max="6150" width="12.140625" customWidth="1"/>
    <col min="6151" max="6151" width="14.140625" customWidth="1"/>
    <col min="6152" max="6152" width="13.5703125" customWidth="1"/>
    <col min="6153" max="6153" width="13.85546875" customWidth="1"/>
    <col min="6154" max="6154" width="14.7109375" customWidth="1"/>
    <col min="6401" max="6401" width="27.5703125" customWidth="1"/>
    <col min="6402" max="6402" width="12.42578125" customWidth="1"/>
    <col min="6403" max="6403" width="12" customWidth="1"/>
    <col min="6404" max="6404" width="12.140625" customWidth="1"/>
    <col min="6405" max="6405" width="12.28515625" customWidth="1"/>
    <col min="6406" max="6406" width="12.140625" customWidth="1"/>
    <col min="6407" max="6407" width="14.140625" customWidth="1"/>
    <col min="6408" max="6408" width="13.5703125" customWidth="1"/>
    <col min="6409" max="6409" width="13.85546875" customWidth="1"/>
    <col min="6410" max="6410" width="14.7109375" customWidth="1"/>
    <col min="6657" max="6657" width="27.5703125" customWidth="1"/>
    <col min="6658" max="6658" width="12.42578125" customWidth="1"/>
    <col min="6659" max="6659" width="12" customWidth="1"/>
    <col min="6660" max="6660" width="12.140625" customWidth="1"/>
    <col min="6661" max="6661" width="12.28515625" customWidth="1"/>
    <col min="6662" max="6662" width="12.140625" customWidth="1"/>
    <col min="6663" max="6663" width="14.140625" customWidth="1"/>
    <col min="6664" max="6664" width="13.5703125" customWidth="1"/>
    <col min="6665" max="6665" width="13.85546875" customWidth="1"/>
    <col min="6666" max="6666" width="14.7109375" customWidth="1"/>
    <col min="6913" max="6913" width="27.5703125" customWidth="1"/>
    <col min="6914" max="6914" width="12.42578125" customWidth="1"/>
    <col min="6915" max="6915" width="12" customWidth="1"/>
    <col min="6916" max="6916" width="12.140625" customWidth="1"/>
    <col min="6917" max="6917" width="12.28515625" customWidth="1"/>
    <col min="6918" max="6918" width="12.140625" customWidth="1"/>
    <col min="6919" max="6919" width="14.140625" customWidth="1"/>
    <col min="6920" max="6920" width="13.5703125" customWidth="1"/>
    <col min="6921" max="6921" width="13.85546875" customWidth="1"/>
    <col min="6922" max="6922" width="14.7109375" customWidth="1"/>
    <col min="7169" max="7169" width="27.5703125" customWidth="1"/>
    <col min="7170" max="7170" width="12.42578125" customWidth="1"/>
    <col min="7171" max="7171" width="12" customWidth="1"/>
    <col min="7172" max="7172" width="12.140625" customWidth="1"/>
    <col min="7173" max="7173" width="12.28515625" customWidth="1"/>
    <col min="7174" max="7174" width="12.140625" customWidth="1"/>
    <col min="7175" max="7175" width="14.140625" customWidth="1"/>
    <col min="7176" max="7176" width="13.5703125" customWidth="1"/>
    <col min="7177" max="7177" width="13.85546875" customWidth="1"/>
    <col min="7178" max="7178" width="14.7109375" customWidth="1"/>
    <col min="7425" max="7425" width="27.5703125" customWidth="1"/>
    <col min="7426" max="7426" width="12.42578125" customWidth="1"/>
    <col min="7427" max="7427" width="12" customWidth="1"/>
    <col min="7428" max="7428" width="12.140625" customWidth="1"/>
    <col min="7429" max="7429" width="12.28515625" customWidth="1"/>
    <col min="7430" max="7430" width="12.140625" customWidth="1"/>
    <col min="7431" max="7431" width="14.140625" customWidth="1"/>
    <col min="7432" max="7432" width="13.5703125" customWidth="1"/>
    <col min="7433" max="7433" width="13.85546875" customWidth="1"/>
    <col min="7434" max="7434" width="14.7109375" customWidth="1"/>
    <col min="7681" max="7681" width="27.5703125" customWidth="1"/>
    <col min="7682" max="7682" width="12.42578125" customWidth="1"/>
    <col min="7683" max="7683" width="12" customWidth="1"/>
    <col min="7684" max="7684" width="12.140625" customWidth="1"/>
    <col min="7685" max="7685" width="12.28515625" customWidth="1"/>
    <col min="7686" max="7686" width="12.140625" customWidth="1"/>
    <col min="7687" max="7687" width="14.140625" customWidth="1"/>
    <col min="7688" max="7688" width="13.5703125" customWidth="1"/>
    <col min="7689" max="7689" width="13.85546875" customWidth="1"/>
    <col min="7690" max="7690" width="14.7109375" customWidth="1"/>
    <col min="7937" max="7937" width="27.5703125" customWidth="1"/>
    <col min="7938" max="7938" width="12.42578125" customWidth="1"/>
    <col min="7939" max="7939" width="12" customWidth="1"/>
    <col min="7940" max="7940" width="12.140625" customWidth="1"/>
    <col min="7941" max="7941" width="12.28515625" customWidth="1"/>
    <col min="7942" max="7942" width="12.140625" customWidth="1"/>
    <col min="7943" max="7943" width="14.140625" customWidth="1"/>
    <col min="7944" max="7944" width="13.5703125" customWidth="1"/>
    <col min="7945" max="7945" width="13.85546875" customWidth="1"/>
    <col min="7946" max="7946" width="14.7109375" customWidth="1"/>
    <col min="8193" max="8193" width="27.5703125" customWidth="1"/>
    <col min="8194" max="8194" width="12.42578125" customWidth="1"/>
    <col min="8195" max="8195" width="12" customWidth="1"/>
    <col min="8196" max="8196" width="12.140625" customWidth="1"/>
    <col min="8197" max="8197" width="12.28515625" customWidth="1"/>
    <col min="8198" max="8198" width="12.140625" customWidth="1"/>
    <col min="8199" max="8199" width="14.140625" customWidth="1"/>
    <col min="8200" max="8200" width="13.5703125" customWidth="1"/>
    <col min="8201" max="8201" width="13.85546875" customWidth="1"/>
    <col min="8202" max="8202" width="14.7109375" customWidth="1"/>
    <col min="8449" max="8449" width="27.5703125" customWidth="1"/>
    <col min="8450" max="8450" width="12.42578125" customWidth="1"/>
    <col min="8451" max="8451" width="12" customWidth="1"/>
    <col min="8452" max="8452" width="12.140625" customWidth="1"/>
    <col min="8453" max="8453" width="12.28515625" customWidth="1"/>
    <col min="8454" max="8454" width="12.140625" customWidth="1"/>
    <col min="8455" max="8455" width="14.140625" customWidth="1"/>
    <col min="8456" max="8456" width="13.5703125" customWidth="1"/>
    <col min="8457" max="8457" width="13.85546875" customWidth="1"/>
    <col min="8458" max="8458" width="14.7109375" customWidth="1"/>
    <col min="8705" max="8705" width="27.5703125" customWidth="1"/>
    <col min="8706" max="8706" width="12.42578125" customWidth="1"/>
    <col min="8707" max="8707" width="12" customWidth="1"/>
    <col min="8708" max="8708" width="12.140625" customWidth="1"/>
    <col min="8709" max="8709" width="12.28515625" customWidth="1"/>
    <col min="8710" max="8710" width="12.140625" customWidth="1"/>
    <col min="8711" max="8711" width="14.140625" customWidth="1"/>
    <col min="8712" max="8712" width="13.5703125" customWidth="1"/>
    <col min="8713" max="8713" width="13.85546875" customWidth="1"/>
    <col min="8714" max="8714" width="14.7109375" customWidth="1"/>
    <col min="8961" max="8961" width="27.5703125" customWidth="1"/>
    <col min="8962" max="8962" width="12.42578125" customWidth="1"/>
    <col min="8963" max="8963" width="12" customWidth="1"/>
    <col min="8964" max="8964" width="12.140625" customWidth="1"/>
    <col min="8965" max="8965" width="12.28515625" customWidth="1"/>
    <col min="8966" max="8966" width="12.140625" customWidth="1"/>
    <col min="8967" max="8967" width="14.140625" customWidth="1"/>
    <col min="8968" max="8968" width="13.5703125" customWidth="1"/>
    <col min="8969" max="8969" width="13.85546875" customWidth="1"/>
    <col min="8970" max="8970" width="14.7109375" customWidth="1"/>
    <col min="9217" max="9217" width="27.5703125" customWidth="1"/>
    <col min="9218" max="9218" width="12.42578125" customWidth="1"/>
    <col min="9219" max="9219" width="12" customWidth="1"/>
    <col min="9220" max="9220" width="12.140625" customWidth="1"/>
    <col min="9221" max="9221" width="12.28515625" customWidth="1"/>
    <col min="9222" max="9222" width="12.140625" customWidth="1"/>
    <col min="9223" max="9223" width="14.140625" customWidth="1"/>
    <col min="9224" max="9224" width="13.5703125" customWidth="1"/>
    <col min="9225" max="9225" width="13.85546875" customWidth="1"/>
    <col min="9226" max="9226" width="14.7109375" customWidth="1"/>
    <col min="9473" max="9473" width="27.5703125" customWidth="1"/>
    <col min="9474" max="9474" width="12.42578125" customWidth="1"/>
    <col min="9475" max="9475" width="12" customWidth="1"/>
    <col min="9476" max="9476" width="12.140625" customWidth="1"/>
    <col min="9477" max="9477" width="12.28515625" customWidth="1"/>
    <col min="9478" max="9478" width="12.140625" customWidth="1"/>
    <col min="9479" max="9479" width="14.140625" customWidth="1"/>
    <col min="9480" max="9480" width="13.5703125" customWidth="1"/>
    <col min="9481" max="9481" width="13.85546875" customWidth="1"/>
    <col min="9482" max="9482" width="14.7109375" customWidth="1"/>
    <col min="9729" max="9729" width="27.5703125" customWidth="1"/>
    <col min="9730" max="9730" width="12.42578125" customWidth="1"/>
    <col min="9731" max="9731" width="12" customWidth="1"/>
    <col min="9732" max="9732" width="12.140625" customWidth="1"/>
    <col min="9733" max="9733" width="12.28515625" customWidth="1"/>
    <col min="9734" max="9734" width="12.140625" customWidth="1"/>
    <col min="9735" max="9735" width="14.140625" customWidth="1"/>
    <col min="9736" max="9736" width="13.5703125" customWidth="1"/>
    <col min="9737" max="9737" width="13.85546875" customWidth="1"/>
    <col min="9738" max="9738" width="14.7109375" customWidth="1"/>
    <col min="9985" max="9985" width="27.5703125" customWidth="1"/>
    <col min="9986" max="9986" width="12.42578125" customWidth="1"/>
    <col min="9987" max="9987" width="12" customWidth="1"/>
    <col min="9988" max="9988" width="12.140625" customWidth="1"/>
    <col min="9989" max="9989" width="12.28515625" customWidth="1"/>
    <col min="9990" max="9990" width="12.140625" customWidth="1"/>
    <col min="9991" max="9991" width="14.140625" customWidth="1"/>
    <col min="9992" max="9992" width="13.5703125" customWidth="1"/>
    <col min="9993" max="9993" width="13.85546875" customWidth="1"/>
    <col min="9994" max="9994" width="14.7109375" customWidth="1"/>
    <col min="10241" max="10241" width="27.5703125" customWidth="1"/>
    <col min="10242" max="10242" width="12.42578125" customWidth="1"/>
    <col min="10243" max="10243" width="12" customWidth="1"/>
    <col min="10244" max="10244" width="12.140625" customWidth="1"/>
    <col min="10245" max="10245" width="12.28515625" customWidth="1"/>
    <col min="10246" max="10246" width="12.140625" customWidth="1"/>
    <col min="10247" max="10247" width="14.140625" customWidth="1"/>
    <col min="10248" max="10248" width="13.5703125" customWidth="1"/>
    <col min="10249" max="10249" width="13.85546875" customWidth="1"/>
    <col min="10250" max="10250" width="14.7109375" customWidth="1"/>
    <col min="10497" max="10497" width="27.5703125" customWidth="1"/>
    <col min="10498" max="10498" width="12.42578125" customWidth="1"/>
    <col min="10499" max="10499" width="12" customWidth="1"/>
    <col min="10500" max="10500" width="12.140625" customWidth="1"/>
    <col min="10501" max="10501" width="12.28515625" customWidth="1"/>
    <col min="10502" max="10502" width="12.140625" customWidth="1"/>
    <col min="10503" max="10503" width="14.140625" customWidth="1"/>
    <col min="10504" max="10504" width="13.5703125" customWidth="1"/>
    <col min="10505" max="10505" width="13.85546875" customWidth="1"/>
    <col min="10506" max="10506" width="14.7109375" customWidth="1"/>
    <col min="10753" max="10753" width="27.5703125" customWidth="1"/>
    <col min="10754" max="10754" width="12.42578125" customWidth="1"/>
    <col min="10755" max="10755" width="12" customWidth="1"/>
    <col min="10756" max="10756" width="12.140625" customWidth="1"/>
    <col min="10757" max="10757" width="12.28515625" customWidth="1"/>
    <col min="10758" max="10758" width="12.140625" customWidth="1"/>
    <col min="10759" max="10759" width="14.140625" customWidth="1"/>
    <col min="10760" max="10760" width="13.5703125" customWidth="1"/>
    <col min="10761" max="10761" width="13.85546875" customWidth="1"/>
    <col min="10762" max="10762" width="14.7109375" customWidth="1"/>
    <col min="11009" max="11009" width="27.5703125" customWidth="1"/>
    <col min="11010" max="11010" width="12.42578125" customWidth="1"/>
    <col min="11011" max="11011" width="12" customWidth="1"/>
    <col min="11012" max="11012" width="12.140625" customWidth="1"/>
    <col min="11013" max="11013" width="12.28515625" customWidth="1"/>
    <col min="11014" max="11014" width="12.140625" customWidth="1"/>
    <col min="11015" max="11015" width="14.140625" customWidth="1"/>
    <col min="11016" max="11016" width="13.5703125" customWidth="1"/>
    <col min="11017" max="11017" width="13.85546875" customWidth="1"/>
    <col min="11018" max="11018" width="14.7109375" customWidth="1"/>
    <col min="11265" max="11265" width="27.5703125" customWidth="1"/>
    <col min="11266" max="11266" width="12.42578125" customWidth="1"/>
    <col min="11267" max="11267" width="12" customWidth="1"/>
    <col min="11268" max="11268" width="12.140625" customWidth="1"/>
    <col min="11269" max="11269" width="12.28515625" customWidth="1"/>
    <col min="11270" max="11270" width="12.140625" customWidth="1"/>
    <col min="11271" max="11271" width="14.140625" customWidth="1"/>
    <col min="11272" max="11272" width="13.5703125" customWidth="1"/>
    <col min="11273" max="11273" width="13.85546875" customWidth="1"/>
    <col min="11274" max="11274" width="14.7109375" customWidth="1"/>
    <col min="11521" max="11521" width="27.5703125" customWidth="1"/>
    <col min="11522" max="11522" width="12.42578125" customWidth="1"/>
    <col min="11523" max="11523" width="12" customWidth="1"/>
    <col min="11524" max="11524" width="12.140625" customWidth="1"/>
    <col min="11525" max="11525" width="12.28515625" customWidth="1"/>
    <col min="11526" max="11526" width="12.140625" customWidth="1"/>
    <col min="11527" max="11527" width="14.140625" customWidth="1"/>
    <col min="11528" max="11528" width="13.5703125" customWidth="1"/>
    <col min="11529" max="11529" width="13.85546875" customWidth="1"/>
    <col min="11530" max="11530" width="14.7109375" customWidth="1"/>
    <col min="11777" max="11777" width="27.5703125" customWidth="1"/>
    <col min="11778" max="11778" width="12.42578125" customWidth="1"/>
    <col min="11779" max="11779" width="12" customWidth="1"/>
    <col min="11780" max="11780" width="12.140625" customWidth="1"/>
    <col min="11781" max="11781" width="12.28515625" customWidth="1"/>
    <col min="11782" max="11782" width="12.140625" customWidth="1"/>
    <col min="11783" max="11783" width="14.140625" customWidth="1"/>
    <col min="11784" max="11784" width="13.5703125" customWidth="1"/>
    <col min="11785" max="11785" width="13.85546875" customWidth="1"/>
    <col min="11786" max="11786" width="14.7109375" customWidth="1"/>
    <col min="12033" max="12033" width="27.5703125" customWidth="1"/>
    <col min="12034" max="12034" width="12.42578125" customWidth="1"/>
    <col min="12035" max="12035" width="12" customWidth="1"/>
    <col min="12036" max="12036" width="12.140625" customWidth="1"/>
    <col min="12037" max="12037" width="12.28515625" customWidth="1"/>
    <col min="12038" max="12038" width="12.140625" customWidth="1"/>
    <col min="12039" max="12039" width="14.140625" customWidth="1"/>
    <col min="12040" max="12040" width="13.5703125" customWidth="1"/>
    <col min="12041" max="12041" width="13.85546875" customWidth="1"/>
    <col min="12042" max="12042" width="14.7109375" customWidth="1"/>
    <col min="12289" max="12289" width="27.5703125" customWidth="1"/>
    <col min="12290" max="12290" width="12.42578125" customWidth="1"/>
    <col min="12291" max="12291" width="12" customWidth="1"/>
    <col min="12292" max="12292" width="12.140625" customWidth="1"/>
    <col min="12293" max="12293" width="12.28515625" customWidth="1"/>
    <col min="12294" max="12294" width="12.140625" customWidth="1"/>
    <col min="12295" max="12295" width="14.140625" customWidth="1"/>
    <col min="12296" max="12296" width="13.5703125" customWidth="1"/>
    <col min="12297" max="12297" width="13.85546875" customWidth="1"/>
    <col min="12298" max="12298" width="14.7109375" customWidth="1"/>
    <col min="12545" max="12545" width="27.5703125" customWidth="1"/>
    <col min="12546" max="12546" width="12.42578125" customWidth="1"/>
    <col min="12547" max="12547" width="12" customWidth="1"/>
    <col min="12548" max="12548" width="12.140625" customWidth="1"/>
    <col min="12549" max="12549" width="12.28515625" customWidth="1"/>
    <col min="12550" max="12550" width="12.140625" customWidth="1"/>
    <col min="12551" max="12551" width="14.140625" customWidth="1"/>
    <col min="12552" max="12552" width="13.5703125" customWidth="1"/>
    <col min="12553" max="12553" width="13.85546875" customWidth="1"/>
    <col min="12554" max="12554" width="14.7109375" customWidth="1"/>
    <col min="12801" max="12801" width="27.5703125" customWidth="1"/>
    <col min="12802" max="12802" width="12.42578125" customWidth="1"/>
    <col min="12803" max="12803" width="12" customWidth="1"/>
    <col min="12804" max="12804" width="12.140625" customWidth="1"/>
    <col min="12805" max="12805" width="12.28515625" customWidth="1"/>
    <col min="12806" max="12806" width="12.140625" customWidth="1"/>
    <col min="12807" max="12807" width="14.140625" customWidth="1"/>
    <col min="12808" max="12808" width="13.5703125" customWidth="1"/>
    <col min="12809" max="12809" width="13.85546875" customWidth="1"/>
    <col min="12810" max="12810" width="14.7109375" customWidth="1"/>
    <col min="13057" max="13057" width="27.5703125" customWidth="1"/>
    <col min="13058" max="13058" width="12.42578125" customWidth="1"/>
    <col min="13059" max="13059" width="12" customWidth="1"/>
    <col min="13060" max="13060" width="12.140625" customWidth="1"/>
    <col min="13061" max="13061" width="12.28515625" customWidth="1"/>
    <col min="13062" max="13062" width="12.140625" customWidth="1"/>
    <col min="13063" max="13063" width="14.140625" customWidth="1"/>
    <col min="13064" max="13064" width="13.5703125" customWidth="1"/>
    <col min="13065" max="13065" width="13.85546875" customWidth="1"/>
    <col min="13066" max="13066" width="14.7109375" customWidth="1"/>
    <col min="13313" max="13313" width="27.5703125" customWidth="1"/>
    <col min="13314" max="13314" width="12.42578125" customWidth="1"/>
    <col min="13315" max="13315" width="12" customWidth="1"/>
    <col min="13316" max="13316" width="12.140625" customWidth="1"/>
    <col min="13317" max="13317" width="12.28515625" customWidth="1"/>
    <col min="13318" max="13318" width="12.140625" customWidth="1"/>
    <col min="13319" max="13319" width="14.140625" customWidth="1"/>
    <col min="13320" max="13320" width="13.5703125" customWidth="1"/>
    <col min="13321" max="13321" width="13.85546875" customWidth="1"/>
    <col min="13322" max="13322" width="14.7109375" customWidth="1"/>
    <col min="13569" max="13569" width="27.5703125" customWidth="1"/>
    <col min="13570" max="13570" width="12.42578125" customWidth="1"/>
    <col min="13571" max="13571" width="12" customWidth="1"/>
    <col min="13572" max="13572" width="12.140625" customWidth="1"/>
    <col min="13573" max="13573" width="12.28515625" customWidth="1"/>
    <col min="13574" max="13574" width="12.140625" customWidth="1"/>
    <col min="13575" max="13575" width="14.140625" customWidth="1"/>
    <col min="13576" max="13576" width="13.5703125" customWidth="1"/>
    <col min="13577" max="13577" width="13.85546875" customWidth="1"/>
    <col min="13578" max="13578" width="14.7109375" customWidth="1"/>
    <col min="13825" max="13825" width="27.5703125" customWidth="1"/>
    <col min="13826" max="13826" width="12.42578125" customWidth="1"/>
    <col min="13827" max="13827" width="12" customWidth="1"/>
    <col min="13828" max="13828" width="12.140625" customWidth="1"/>
    <col min="13829" max="13829" width="12.28515625" customWidth="1"/>
    <col min="13830" max="13830" width="12.140625" customWidth="1"/>
    <col min="13831" max="13831" width="14.140625" customWidth="1"/>
    <col min="13832" max="13832" width="13.5703125" customWidth="1"/>
    <col min="13833" max="13833" width="13.85546875" customWidth="1"/>
    <col min="13834" max="13834" width="14.7109375" customWidth="1"/>
    <col min="14081" max="14081" width="27.5703125" customWidth="1"/>
    <col min="14082" max="14082" width="12.42578125" customWidth="1"/>
    <col min="14083" max="14083" width="12" customWidth="1"/>
    <col min="14084" max="14084" width="12.140625" customWidth="1"/>
    <col min="14085" max="14085" width="12.28515625" customWidth="1"/>
    <col min="14086" max="14086" width="12.140625" customWidth="1"/>
    <col min="14087" max="14087" width="14.140625" customWidth="1"/>
    <col min="14088" max="14088" width="13.5703125" customWidth="1"/>
    <col min="14089" max="14089" width="13.85546875" customWidth="1"/>
    <col min="14090" max="14090" width="14.7109375" customWidth="1"/>
    <col min="14337" max="14337" width="27.5703125" customWidth="1"/>
    <col min="14338" max="14338" width="12.42578125" customWidth="1"/>
    <col min="14339" max="14339" width="12" customWidth="1"/>
    <col min="14340" max="14340" width="12.140625" customWidth="1"/>
    <col min="14341" max="14341" width="12.28515625" customWidth="1"/>
    <col min="14342" max="14342" width="12.140625" customWidth="1"/>
    <col min="14343" max="14343" width="14.140625" customWidth="1"/>
    <col min="14344" max="14344" width="13.5703125" customWidth="1"/>
    <col min="14345" max="14345" width="13.85546875" customWidth="1"/>
    <col min="14346" max="14346" width="14.7109375" customWidth="1"/>
    <col min="14593" max="14593" width="27.5703125" customWidth="1"/>
    <col min="14594" max="14594" width="12.42578125" customWidth="1"/>
    <col min="14595" max="14595" width="12" customWidth="1"/>
    <col min="14596" max="14596" width="12.140625" customWidth="1"/>
    <col min="14597" max="14597" width="12.28515625" customWidth="1"/>
    <col min="14598" max="14598" width="12.140625" customWidth="1"/>
    <col min="14599" max="14599" width="14.140625" customWidth="1"/>
    <col min="14600" max="14600" width="13.5703125" customWidth="1"/>
    <col min="14601" max="14601" width="13.85546875" customWidth="1"/>
    <col min="14602" max="14602" width="14.7109375" customWidth="1"/>
    <col min="14849" max="14849" width="27.5703125" customWidth="1"/>
    <col min="14850" max="14850" width="12.42578125" customWidth="1"/>
    <col min="14851" max="14851" width="12" customWidth="1"/>
    <col min="14852" max="14852" width="12.140625" customWidth="1"/>
    <col min="14853" max="14853" width="12.28515625" customWidth="1"/>
    <col min="14854" max="14854" width="12.140625" customWidth="1"/>
    <col min="14855" max="14855" width="14.140625" customWidth="1"/>
    <col min="14856" max="14856" width="13.5703125" customWidth="1"/>
    <col min="14857" max="14857" width="13.85546875" customWidth="1"/>
    <col min="14858" max="14858" width="14.7109375" customWidth="1"/>
    <col min="15105" max="15105" width="27.5703125" customWidth="1"/>
    <col min="15106" max="15106" width="12.42578125" customWidth="1"/>
    <col min="15107" max="15107" width="12" customWidth="1"/>
    <col min="15108" max="15108" width="12.140625" customWidth="1"/>
    <col min="15109" max="15109" width="12.28515625" customWidth="1"/>
    <col min="15110" max="15110" width="12.140625" customWidth="1"/>
    <col min="15111" max="15111" width="14.140625" customWidth="1"/>
    <col min="15112" max="15112" width="13.5703125" customWidth="1"/>
    <col min="15113" max="15113" width="13.85546875" customWidth="1"/>
    <col min="15114" max="15114" width="14.7109375" customWidth="1"/>
    <col min="15361" max="15361" width="27.5703125" customWidth="1"/>
    <col min="15362" max="15362" width="12.42578125" customWidth="1"/>
    <col min="15363" max="15363" width="12" customWidth="1"/>
    <col min="15364" max="15364" width="12.140625" customWidth="1"/>
    <col min="15365" max="15365" width="12.28515625" customWidth="1"/>
    <col min="15366" max="15366" width="12.140625" customWidth="1"/>
    <col min="15367" max="15367" width="14.140625" customWidth="1"/>
    <col min="15368" max="15368" width="13.5703125" customWidth="1"/>
    <col min="15369" max="15369" width="13.85546875" customWidth="1"/>
    <col min="15370" max="15370" width="14.7109375" customWidth="1"/>
    <col min="15617" max="15617" width="27.5703125" customWidth="1"/>
    <col min="15618" max="15618" width="12.42578125" customWidth="1"/>
    <col min="15619" max="15619" width="12" customWidth="1"/>
    <col min="15620" max="15620" width="12.140625" customWidth="1"/>
    <col min="15621" max="15621" width="12.28515625" customWidth="1"/>
    <col min="15622" max="15622" width="12.140625" customWidth="1"/>
    <col min="15623" max="15623" width="14.140625" customWidth="1"/>
    <col min="15624" max="15624" width="13.5703125" customWidth="1"/>
    <col min="15625" max="15625" width="13.85546875" customWidth="1"/>
    <col min="15626" max="15626" width="14.7109375" customWidth="1"/>
    <col min="15873" max="15873" width="27.5703125" customWidth="1"/>
    <col min="15874" max="15874" width="12.42578125" customWidth="1"/>
    <col min="15875" max="15875" width="12" customWidth="1"/>
    <col min="15876" max="15876" width="12.140625" customWidth="1"/>
    <col min="15877" max="15877" width="12.28515625" customWidth="1"/>
    <col min="15878" max="15878" width="12.140625" customWidth="1"/>
    <col min="15879" max="15879" width="14.140625" customWidth="1"/>
    <col min="15880" max="15880" width="13.5703125" customWidth="1"/>
    <col min="15881" max="15881" width="13.85546875" customWidth="1"/>
    <col min="15882" max="15882" width="14.7109375" customWidth="1"/>
    <col min="16129" max="16129" width="27.5703125" customWidth="1"/>
    <col min="16130" max="16130" width="12.42578125" customWidth="1"/>
    <col min="16131" max="16131" width="12" customWidth="1"/>
    <col min="16132" max="16132" width="12.140625" customWidth="1"/>
    <col min="16133" max="16133" width="12.28515625" customWidth="1"/>
    <col min="16134" max="16134" width="12.140625" customWidth="1"/>
    <col min="16135" max="16135" width="14.140625" customWidth="1"/>
    <col min="16136" max="16136" width="13.5703125" customWidth="1"/>
    <col min="16137" max="16137" width="13.85546875" customWidth="1"/>
    <col min="16138" max="16138" width="14.7109375" customWidth="1"/>
  </cols>
  <sheetData>
    <row r="2" spans="1:18" ht="15" customHeight="1" x14ac:dyDescent="0.25">
      <c r="A2" s="195" t="s">
        <v>63</v>
      </c>
      <c r="B2" s="196"/>
      <c r="C2" s="196"/>
      <c r="D2" s="196"/>
      <c r="E2" s="196"/>
      <c r="F2" s="196"/>
      <c r="G2" s="196"/>
      <c r="H2" s="196"/>
      <c r="I2" s="196"/>
      <c r="J2" s="196"/>
      <c r="K2" s="196"/>
    </row>
    <row r="3" spans="1:18" x14ac:dyDescent="0.25">
      <c r="A3" s="197" t="s">
        <v>65</v>
      </c>
      <c r="B3" s="198"/>
      <c r="C3" s="198"/>
      <c r="D3" s="198"/>
      <c r="E3" s="198"/>
      <c r="F3" s="198"/>
      <c r="G3" s="198"/>
      <c r="H3" s="198"/>
      <c r="I3" s="198"/>
      <c r="J3" s="198"/>
      <c r="K3" s="198"/>
    </row>
    <row r="4" spans="1:18" x14ac:dyDescent="0.25">
      <c r="A4" s="32" t="s">
        <v>66</v>
      </c>
      <c r="B4" s="34" t="s">
        <v>4</v>
      </c>
      <c r="C4" s="139" t="s">
        <v>5</v>
      </c>
      <c r="D4" s="34" t="s">
        <v>6</v>
      </c>
      <c r="E4" s="34" t="s">
        <v>7</v>
      </c>
      <c r="F4" s="34" t="s">
        <v>8</v>
      </c>
      <c r="G4" s="34" t="s">
        <v>9</v>
      </c>
      <c r="H4" s="34" t="s">
        <v>10</v>
      </c>
      <c r="I4" s="34" t="s">
        <v>11</v>
      </c>
      <c r="J4" s="34" t="s">
        <v>12</v>
      </c>
      <c r="K4" s="34" t="s">
        <v>13</v>
      </c>
    </row>
    <row r="5" spans="1:18" x14ac:dyDescent="0.25">
      <c r="A5" s="31" t="s">
        <v>64</v>
      </c>
      <c r="B5" s="35"/>
      <c r="C5" s="13"/>
      <c r="D5" s="13"/>
      <c r="E5" s="13"/>
      <c r="F5" s="13"/>
      <c r="G5" s="13"/>
      <c r="H5" s="13"/>
      <c r="I5" s="13"/>
      <c r="J5" s="13"/>
      <c r="K5" s="13"/>
    </row>
    <row r="6" spans="1:18" x14ac:dyDescent="0.25">
      <c r="A6" s="31" t="s">
        <v>67</v>
      </c>
      <c r="B6" s="35"/>
      <c r="C6" s="145">
        <f>78588</f>
        <v>78588</v>
      </c>
      <c r="D6" s="35"/>
      <c r="E6" s="13"/>
      <c r="F6" s="13"/>
      <c r="G6" s="13"/>
      <c r="H6" s="13"/>
      <c r="I6" s="13"/>
      <c r="J6" s="13"/>
      <c r="K6" s="13"/>
    </row>
    <row r="7" spans="1:18" x14ac:dyDescent="0.25">
      <c r="A7" s="33" t="s">
        <v>68</v>
      </c>
      <c r="B7" s="13"/>
      <c r="C7" s="13"/>
      <c r="D7" s="13"/>
      <c r="E7" s="13"/>
      <c r="F7" s="13"/>
      <c r="G7" s="13"/>
      <c r="H7" s="13"/>
      <c r="I7" s="13"/>
      <c r="J7" s="13"/>
      <c r="K7" s="13"/>
    </row>
    <row r="8" spans="1:18" x14ac:dyDescent="0.25">
      <c r="A8" s="33" t="s">
        <v>69</v>
      </c>
      <c r="B8" s="13">
        <v>12000000</v>
      </c>
      <c r="C8" s="136">
        <v>12000000</v>
      </c>
      <c r="D8" s="13">
        <v>12000000</v>
      </c>
      <c r="E8" s="13">
        <v>12000000</v>
      </c>
      <c r="F8" s="13">
        <v>12000000</v>
      </c>
      <c r="G8" s="13">
        <v>12000000</v>
      </c>
      <c r="H8" s="13">
        <v>12000000</v>
      </c>
      <c r="I8" s="13">
        <v>12000000</v>
      </c>
      <c r="J8" s="13">
        <v>12000000</v>
      </c>
      <c r="K8" s="13"/>
      <c r="R8" s="106">
        <v>12000000</v>
      </c>
    </row>
    <row r="9" spans="1:18" x14ac:dyDescent="0.25">
      <c r="A9" s="33" t="s">
        <v>70</v>
      </c>
      <c r="B9" s="13">
        <f>2000000*1.02</f>
        <v>2040000</v>
      </c>
      <c r="C9" s="13">
        <v>2000000</v>
      </c>
      <c r="D9" s="13">
        <v>2000000</v>
      </c>
      <c r="E9" s="13">
        <v>2000000</v>
      </c>
      <c r="F9" s="13">
        <v>2000000</v>
      </c>
      <c r="G9" s="13">
        <v>2000000</v>
      </c>
      <c r="H9" s="13">
        <v>2000000</v>
      </c>
      <c r="I9" s="13">
        <v>2000000</v>
      </c>
      <c r="J9" s="13">
        <v>2000000</v>
      </c>
      <c r="K9" s="13"/>
      <c r="Q9" s="105">
        <f>B12*1.05</f>
        <v>1533577.5</v>
      </c>
      <c r="R9" s="106">
        <v>1460550</v>
      </c>
    </row>
    <row r="10" spans="1:18" x14ac:dyDescent="0.25">
      <c r="A10" s="33" t="s">
        <v>78</v>
      </c>
      <c r="B10" s="13">
        <v>330000</v>
      </c>
      <c r="C10" s="136">
        <f>1123772+116670</f>
        <v>1240442</v>
      </c>
      <c r="D10" s="13">
        <v>330000</v>
      </c>
      <c r="E10" s="13">
        <v>330000</v>
      </c>
      <c r="F10" s="13">
        <v>330000</v>
      </c>
      <c r="G10" s="13">
        <v>330000</v>
      </c>
      <c r="H10" s="13">
        <v>330000</v>
      </c>
      <c r="I10" s="13">
        <v>330000</v>
      </c>
      <c r="J10" s="13">
        <v>330000</v>
      </c>
      <c r="K10" s="13"/>
      <c r="Q10" s="105">
        <f t="shared" ref="Q10:Q14" si="0">B13*1.05</f>
        <v>1533577.5</v>
      </c>
      <c r="R10" s="106">
        <v>1460550</v>
      </c>
    </row>
    <row r="11" spans="1:18" x14ac:dyDescent="0.25">
      <c r="A11" s="2" t="s">
        <v>76</v>
      </c>
      <c r="B11" s="36">
        <f>SUM(B12:B18)</f>
        <v>20777100</v>
      </c>
      <c r="C11" s="136">
        <f>SUM(B12:B16)</f>
        <v>10485300</v>
      </c>
      <c r="D11" s="13"/>
      <c r="E11" s="13"/>
      <c r="F11" s="13"/>
      <c r="G11" s="13"/>
      <c r="H11" s="13"/>
      <c r="I11" s="13"/>
      <c r="J11" s="13"/>
      <c r="K11" s="13"/>
      <c r="Q11" s="105">
        <f t="shared" si="0"/>
        <v>2639385</v>
      </c>
      <c r="R11" s="106">
        <v>2513700</v>
      </c>
    </row>
    <row r="12" spans="1:18" x14ac:dyDescent="0.25">
      <c r="A12" s="33" t="s">
        <v>71</v>
      </c>
      <c r="B12" s="13">
        <v>1460550</v>
      </c>
      <c r="C12" s="13">
        <v>1391000</v>
      </c>
      <c r="D12" s="13">
        <v>1391000</v>
      </c>
      <c r="E12" s="13">
        <v>1391000</v>
      </c>
      <c r="F12" s="13">
        <v>1391000</v>
      </c>
      <c r="G12" s="13">
        <v>1391000</v>
      </c>
      <c r="H12" s="13">
        <v>1391000</v>
      </c>
      <c r="I12" s="13">
        <v>1391000</v>
      </c>
      <c r="J12" s="13">
        <v>1391000</v>
      </c>
      <c r="K12" s="13"/>
      <c r="Q12" s="105">
        <f t="shared" si="0"/>
        <v>2546775</v>
      </c>
      <c r="R12" s="106">
        <v>2425500</v>
      </c>
    </row>
    <row r="13" spans="1:18" x14ac:dyDescent="0.25">
      <c r="A13" s="33" t="s">
        <v>72</v>
      </c>
      <c r="B13" s="13">
        <v>1460550</v>
      </c>
      <c r="C13" s="13">
        <v>1391000</v>
      </c>
      <c r="D13" s="13">
        <v>1391000</v>
      </c>
      <c r="E13" s="13">
        <v>1391000</v>
      </c>
      <c r="F13" s="13">
        <v>1391000</v>
      </c>
      <c r="G13" s="13">
        <v>1391000</v>
      </c>
      <c r="H13" s="13">
        <v>1391000</v>
      </c>
      <c r="I13" s="13">
        <v>1391000</v>
      </c>
      <c r="J13" s="13">
        <v>1391000</v>
      </c>
      <c r="K13" s="13"/>
      <c r="Q13" s="105">
        <f t="shared" si="0"/>
        <v>2756250</v>
      </c>
      <c r="R13" s="106">
        <v>2625000</v>
      </c>
    </row>
    <row r="14" spans="1:18" x14ac:dyDescent="0.25">
      <c r="A14" s="33" t="s">
        <v>73</v>
      </c>
      <c r="B14" s="13">
        <v>2513700</v>
      </c>
      <c r="C14" s="13">
        <v>2394000</v>
      </c>
      <c r="D14" s="13">
        <v>2394000</v>
      </c>
      <c r="E14" s="13">
        <v>2394000</v>
      </c>
      <c r="F14" s="13">
        <v>2394000</v>
      </c>
      <c r="G14" s="13">
        <v>2394000</v>
      </c>
      <c r="H14" s="13">
        <v>2394000</v>
      </c>
      <c r="I14" s="13">
        <v>2394000</v>
      </c>
      <c r="J14" s="13">
        <v>2394000</v>
      </c>
      <c r="K14" s="13"/>
      <c r="Q14" s="105">
        <f t="shared" si="0"/>
        <v>5890500</v>
      </c>
      <c r="R14" s="106">
        <v>5775000</v>
      </c>
    </row>
    <row r="15" spans="1:18" x14ac:dyDescent="0.25">
      <c r="A15" s="33" t="s">
        <v>89</v>
      </c>
      <c r="B15" s="13">
        <v>2425500</v>
      </c>
      <c r="C15" s="136">
        <v>10680000</v>
      </c>
      <c r="D15" s="13">
        <f>5477200+2536200+2536200+2536200+1440000+1440000</f>
        <v>15965800</v>
      </c>
      <c r="E15" s="13">
        <v>2310000</v>
      </c>
      <c r="F15" s="13">
        <v>2310000</v>
      </c>
      <c r="G15" s="13">
        <v>2310000</v>
      </c>
      <c r="H15" s="13">
        <v>2310000</v>
      </c>
      <c r="I15" s="13">
        <v>2310000</v>
      </c>
      <c r="J15" s="13">
        <v>2310000</v>
      </c>
      <c r="K15" s="13"/>
      <c r="Q15" s="105"/>
      <c r="R15" s="106">
        <v>4819500</v>
      </c>
    </row>
    <row r="16" spans="1:18" x14ac:dyDescent="0.25">
      <c r="A16" s="33" t="s">
        <v>93</v>
      </c>
      <c r="B16" s="13">
        <v>2625000</v>
      </c>
      <c r="C16" s="13"/>
      <c r="D16" s="13">
        <v>2500000</v>
      </c>
      <c r="E16" s="13">
        <v>2500000</v>
      </c>
      <c r="F16" s="13">
        <v>2500000</v>
      </c>
      <c r="G16" s="13">
        <v>2500000</v>
      </c>
      <c r="H16" s="13">
        <v>2500000</v>
      </c>
      <c r="I16" s="13">
        <v>2500000</v>
      </c>
      <c r="J16" s="13"/>
      <c r="K16" s="13"/>
      <c r="Q16" s="105"/>
      <c r="R16">
        <f>SUM(R8:R15)</f>
        <v>33079800</v>
      </c>
    </row>
    <row r="17" spans="1:18" x14ac:dyDescent="0.25">
      <c r="A17" s="33" t="s">
        <v>95</v>
      </c>
      <c r="B17" s="13">
        <v>5610000</v>
      </c>
      <c r="C17" s="13">
        <v>5500000</v>
      </c>
      <c r="D17" s="13">
        <v>5500000</v>
      </c>
      <c r="E17" s="13">
        <v>5500000</v>
      </c>
      <c r="F17" s="13">
        <v>5500000</v>
      </c>
      <c r="G17" s="13">
        <v>5500000</v>
      </c>
      <c r="H17" s="13">
        <v>5500000</v>
      </c>
      <c r="I17" s="13">
        <v>5500000</v>
      </c>
      <c r="J17" s="13">
        <v>5500000</v>
      </c>
      <c r="K17" s="13"/>
      <c r="Q17" s="105">
        <f>B17*1.02</f>
        <v>5722200</v>
      </c>
      <c r="R17">
        <v>5610000</v>
      </c>
    </row>
    <row r="18" spans="1:18" x14ac:dyDescent="0.25">
      <c r="A18" s="33" t="s">
        <v>94</v>
      </c>
      <c r="B18" s="13">
        <v>4681800</v>
      </c>
      <c r="C18" s="13">
        <v>4590000</v>
      </c>
      <c r="D18" s="13">
        <v>4590000</v>
      </c>
      <c r="E18" s="13">
        <v>4590000</v>
      </c>
      <c r="F18" s="13">
        <v>4590000</v>
      </c>
      <c r="G18" s="13">
        <v>4590000</v>
      </c>
      <c r="H18" s="13">
        <v>4590000</v>
      </c>
      <c r="I18" s="13">
        <v>4590000</v>
      </c>
      <c r="J18" s="13">
        <v>4590000</v>
      </c>
      <c r="K18" s="13"/>
      <c r="Q18" s="105">
        <f>B18*1.02</f>
        <v>4775436</v>
      </c>
      <c r="R18">
        <v>4681800</v>
      </c>
    </row>
    <row r="19" spans="1:18" x14ac:dyDescent="0.25">
      <c r="A19" s="33"/>
      <c r="B19" s="13">
        <f>+B11+B12+B13+B14+B15+B17+B18</f>
        <v>38929200</v>
      </c>
      <c r="C19" s="13"/>
      <c r="D19" s="13">
        <f>SUM(D12:D18)</f>
        <v>33731800</v>
      </c>
      <c r="E19" s="13"/>
      <c r="F19" s="13"/>
      <c r="G19" s="13"/>
      <c r="H19" s="13"/>
      <c r="I19" s="13"/>
      <c r="J19" s="13"/>
      <c r="K19" s="13"/>
    </row>
    <row r="20" spans="1:18" ht="16.5" customHeight="1" x14ac:dyDescent="0.25">
      <c r="A20" s="33"/>
      <c r="B20" s="13"/>
      <c r="C20" s="13"/>
      <c r="D20" s="13">
        <f>+D19+D8</f>
        <v>45731800</v>
      </c>
      <c r="E20" s="13"/>
      <c r="F20" s="13"/>
      <c r="G20" s="13"/>
      <c r="H20" s="13"/>
      <c r="I20" s="13"/>
      <c r="J20" s="13"/>
      <c r="K20" s="13"/>
    </row>
    <row r="21" spans="1:18" x14ac:dyDescent="0.25">
      <c r="A21" s="33" t="s">
        <v>74</v>
      </c>
      <c r="B21" s="13"/>
      <c r="C21" s="136">
        <v>5000000</v>
      </c>
      <c r="D21" s="13"/>
      <c r="E21" s="13"/>
      <c r="F21" s="13"/>
      <c r="G21" s="13"/>
      <c r="H21" s="13"/>
      <c r="I21" s="13"/>
      <c r="J21" s="13"/>
      <c r="K21" s="13"/>
    </row>
    <row r="22" spans="1:18" x14ac:dyDescent="0.25">
      <c r="A22" s="33" t="s">
        <v>75</v>
      </c>
      <c r="B22" s="13"/>
      <c r="C22" s="136"/>
      <c r="D22" s="13"/>
      <c r="E22" s="13"/>
      <c r="F22" s="13"/>
      <c r="G22" s="13"/>
      <c r="H22" s="13"/>
      <c r="I22" s="13"/>
      <c r="J22" s="13"/>
      <c r="K22" s="13"/>
    </row>
    <row r="23" spans="1:18" x14ac:dyDescent="0.25">
      <c r="A23" s="2" t="s">
        <v>79</v>
      </c>
      <c r="B23" s="36">
        <f>SUM(B24:B29)</f>
        <v>20000000</v>
      </c>
      <c r="C23" s="13"/>
      <c r="D23" s="13"/>
      <c r="E23" s="13"/>
      <c r="F23" s="13"/>
      <c r="G23" s="13"/>
      <c r="H23" s="13"/>
      <c r="I23" s="13"/>
      <c r="J23" s="13"/>
      <c r="K23" s="13"/>
    </row>
    <row r="24" spans="1:18" x14ac:dyDescent="0.25">
      <c r="A24" s="33" t="s">
        <v>80</v>
      </c>
      <c r="B24" s="13">
        <v>5000000</v>
      </c>
      <c r="C24" s="13"/>
      <c r="D24" s="13"/>
      <c r="E24" s="13"/>
      <c r="F24" s="13"/>
      <c r="G24" s="13"/>
      <c r="H24" s="13"/>
      <c r="I24" s="13"/>
      <c r="J24" s="13"/>
      <c r="K24" s="13"/>
    </row>
    <row r="25" spans="1:18" x14ac:dyDescent="0.25">
      <c r="A25" s="33" t="s">
        <v>82</v>
      </c>
      <c r="B25" s="13">
        <v>5000000</v>
      </c>
      <c r="C25" s="13"/>
      <c r="D25" s="13"/>
      <c r="E25" s="13"/>
      <c r="F25" s="13"/>
      <c r="G25" s="13"/>
      <c r="H25" s="13"/>
      <c r="I25" s="13"/>
      <c r="J25" s="13"/>
      <c r="K25" s="13"/>
    </row>
    <row r="26" spans="1:18" x14ac:dyDescent="0.25">
      <c r="A26" s="33" t="s">
        <v>81</v>
      </c>
      <c r="B26" s="13"/>
      <c r="C26" s="13"/>
      <c r="D26" s="13"/>
      <c r="E26" s="13"/>
      <c r="F26" s="13"/>
      <c r="G26" s="13"/>
      <c r="H26" s="13"/>
      <c r="I26" s="13"/>
      <c r="J26" s="13"/>
      <c r="K26" s="13"/>
    </row>
    <row r="27" spans="1:18" x14ac:dyDescent="0.25">
      <c r="A27" s="33" t="s">
        <v>83</v>
      </c>
      <c r="B27" s="13">
        <v>5000000</v>
      </c>
      <c r="C27" s="136"/>
      <c r="D27" s="13"/>
      <c r="E27" s="13"/>
      <c r="F27" s="13"/>
      <c r="G27" s="13"/>
      <c r="H27" s="13"/>
      <c r="I27" s="13"/>
      <c r="J27" s="13"/>
      <c r="K27" s="13"/>
    </row>
    <row r="28" spans="1:18" x14ac:dyDescent="0.25">
      <c r="A28" s="33" t="s">
        <v>84</v>
      </c>
      <c r="B28" s="13">
        <v>5000000</v>
      </c>
      <c r="C28" s="13"/>
      <c r="D28" s="13">
        <v>1767000</v>
      </c>
      <c r="E28" s="13"/>
      <c r="F28" s="13"/>
      <c r="G28" s="13"/>
      <c r="H28" s="13"/>
      <c r="I28" s="13"/>
      <c r="J28" s="13"/>
      <c r="K28" s="13"/>
    </row>
    <row r="29" spans="1:18" x14ac:dyDescent="0.25">
      <c r="A29" s="33"/>
      <c r="B29" s="13"/>
      <c r="C29" s="13"/>
      <c r="D29" s="13"/>
      <c r="E29" s="13"/>
      <c r="F29" s="13"/>
      <c r="G29" s="13"/>
      <c r="H29" s="13"/>
      <c r="I29" s="13"/>
      <c r="J29" s="13"/>
      <c r="K29" s="13"/>
    </row>
    <row r="30" spans="1:18" x14ac:dyDescent="0.25">
      <c r="A30" s="33"/>
      <c r="B30" s="13"/>
      <c r="C30" s="13"/>
      <c r="D30" s="13"/>
      <c r="E30" s="13"/>
      <c r="F30" s="13"/>
      <c r="G30" s="13"/>
      <c r="H30" s="13"/>
      <c r="I30" s="13"/>
      <c r="J30" s="13"/>
      <c r="K30" s="13"/>
    </row>
    <row r="32" spans="1:18" x14ac:dyDescent="0.25">
      <c r="C32" s="134">
        <f>4299000+32482000</f>
        <v>36781000</v>
      </c>
    </row>
    <row r="33" spans="1:4" x14ac:dyDescent="0.25">
      <c r="A33" t="s">
        <v>175</v>
      </c>
      <c r="D33" s="11">
        <v>4346000</v>
      </c>
    </row>
    <row r="34" spans="1:4" x14ac:dyDescent="0.25">
      <c r="D34" s="11">
        <f>7364000+3283000</f>
        <v>10647000</v>
      </c>
    </row>
    <row r="35" spans="1:4" x14ac:dyDescent="0.25">
      <c r="C35" s="134"/>
    </row>
    <row r="41" spans="1:4" x14ac:dyDescent="0.25">
      <c r="C41" s="143">
        <f>1004823+14003+5494</f>
        <v>1024320</v>
      </c>
    </row>
    <row r="46" spans="1:4" x14ac:dyDescent="0.25">
      <c r="C46" s="134"/>
    </row>
    <row r="49" spans="1:4" x14ac:dyDescent="0.25">
      <c r="C49" s="134"/>
    </row>
    <row r="53" spans="1:4" x14ac:dyDescent="0.25">
      <c r="D53" s="11">
        <f>SUM(D4:D52)</f>
        <v>144285400</v>
      </c>
    </row>
    <row r="54" spans="1:4" x14ac:dyDescent="0.25">
      <c r="A54" t="s">
        <v>176</v>
      </c>
      <c r="D54" s="147">
        <f>D3-D53</f>
        <v>-144285400</v>
      </c>
    </row>
  </sheetData>
  <mergeCells count="2">
    <mergeCell ref="A2:K2"/>
    <mergeCell ref="A3:K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59"/>
  <sheetViews>
    <sheetView topLeftCell="A24" zoomScaleNormal="100" workbookViewId="0">
      <selection sqref="A1:O58"/>
    </sheetView>
  </sheetViews>
  <sheetFormatPr baseColWidth="10" defaultRowHeight="15" x14ac:dyDescent="0.25"/>
  <cols>
    <col min="1" max="1" width="43.28515625" customWidth="1"/>
    <col min="2" max="2" width="15.140625" bestFit="1" customWidth="1"/>
    <col min="3" max="3" width="20.140625" customWidth="1"/>
    <col min="4" max="4" width="14.140625" customWidth="1"/>
    <col min="5" max="8" width="15.140625" bestFit="1" customWidth="1"/>
    <col min="9" max="10" width="13.140625" bestFit="1" customWidth="1"/>
    <col min="11" max="11" width="14.140625" bestFit="1" customWidth="1"/>
    <col min="12" max="14" width="13.140625" bestFit="1" customWidth="1"/>
    <col min="15" max="15" width="14.140625" bestFit="1" customWidth="1"/>
    <col min="16" max="16" width="24" customWidth="1"/>
    <col min="17" max="17" width="12.5703125" bestFit="1" customWidth="1"/>
  </cols>
  <sheetData>
    <row r="1" spans="1:17" x14ac:dyDescent="0.25">
      <c r="A1" s="33"/>
      <c r="B1" s="199" t="s">
        <v>174</v>
      </c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200"/>
      <c r="O1" s="201"/>
    </row>
    <row r="2" spans="1:17" x14ac:dyDescent="0.25">
      <c r="A2" s="2" t="s">
        <v>15</v>
      </c>
      <c r="B2" s="107" t="s">
        <v>121</v>
      </c>
      <c r="C2" s="107" t="s">
        <v>119</v>
      </c>
      <c r="D2" s="107" t="s">
        <v>120</v>
      </c>
      <c r="E2" s="107" t="s">
        <v>122</v>
      </c>
      <c r="F2" s="107" t="s">
        <v>123</v>
      </c>
      <c r="G2" s="107" t="s">
        <v>124</v>
      </c>
      <c r="H2" s="107" t="s">
        <v>125</v>
      </c>
      <c r="I2" s="107" t="s">
        <v>126</v>
      </c>
      <c r="J2" s="107" t="s">
        <v>127</v>
      </c>
      <c r="K2" s="107" t="s">
        <v>128</v>
      </c>
      <c r="L2" s="107" t="s">
        <v>129</v>
      </c>
      <c r="M2" s="107" t="s">
        <v>130</v>
      </c>
      <c r="N2" s="107" t="s">
        <v>131</v>
      </c>
      <c r="O2" s="107" t="s">
        <v>13</v>
      </c>
    </row>
    <row r="3" spans="1:17" x14ac:dyDescent="0.25">
      <c r="A3" s="2" t="s">
        <v>132</v>
      </c>
      <c r="B3" s="13"/>
      <c r="C3" s="128">
        <v>1087059393.4400001</v>
      </c>
      <c r="D3" s="108">
        <f>C54</f>
        <v>931157514.8900001</v>
      </c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9"/>
    </row>
    <row r="4" spans="1:17" x14ac:dyDescent="0.25">
      <c r="A4" s="33" t="s">
        <v>115</v>
      </c>
      <c r="B4" s="13"/>
      <c r="C4" s="136">
        <v>53039309</v>
      </c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09">
        <f t="shared" ref="O4:O7" si="0">SUM(C4:N4)</f>
        <v>53039309</v>
      </c>
    </row>
    <row r="5" spans="1:17" x14ac:dyDescent="0.25">
      <c r="A5" s="33" t="s">
        <v>116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09">
        <f t="shared" si="0"/>
        <v>0</v>
      </c>
      <c r="P5" s="104"/>
      <c r="Q5" s="104"/>
    </row>
    <row r="6" spans="1:17" x14ac:dyDescent="0.25">
      <c r="A6" s="33" t="s">
        <v>117</v>
      </c>
      <c r="B6" s="13"/>
      <c r="C6" s="142">
        <f>78588+116363.44</f>
        <v>194951.44</v>
      </c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09">
        <f t="shared" si="0"/>
        <v>194951.44</v>
      </c>
    </row>
    <row r="7" spans="1:17" x14ac:dyDescent="0.25">
      <c r="A7" s="33" t="s">
        <v>153</v>
      </c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09">
        <f t="shared" si="0"/>
        <v>0</v>
      </c>
    </row>
    <row r="8" spans="1:17" x14ac:dyDescent="0.25">
      <c r="A8" s="33" t="s">
        <v>165</v>
      </c>
      <c r="B8" s="13"/>
      <c r="C8" s="136">
        <v>40000000</v>
      </c>
      <c r="D8" s="13">
        <f>40000000+40000000+40000000</f>
        <v>120000000</v>
      </c>
      <c r="E8" s="13"/>
      <c r="F8" s="13"/>
      <c r="G8" s="13"/>
      <c r="H8" s="13"/>
      <c r="I8" s="13"/>
      <c r="J8" s="13"/>
      <c r="K8" s="13"/>
      <c r="L8" s="13"/>
      <c r="M8" s="13"/>
      <c r="N8" s="13"/>
      <c r="O8" s="131">
        <f>SUM(C8:N8)</f>
        <v>160000000</v>
      </c>
    </row>
    <row r="9" spans="1:17" x14ac:dyDescent="0.25">
      <c r="A9" s="33" t="s">
        <v>118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09">
        <f>SUM(C9:N9)</f>
        <v>0</v>
      </c>
    </row>
    <row r="10" spans="1:17" x14ac:dyDescent="0.25">
      <c r="A10" s="33" t="s">
        <v>172</v>
      </c>
      <c r="B10" s="13"/>
      <c r="C10" s="136">
        <f>1123772+116670</f>
        <v>1240442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09">
        <f>SUM(C10:N10)</f>
        <v>1240442</v>
      </c>
    </row>
    <row r="11" spans="1:17" x14ac:dyDescent="0.25">
      <c r="A11" s="33" t="s">
        <v>173</v>
      </c>
      <c r="B11" s="13"/>
      <c r="C11" s="136">
        <f>1449191+316593</f>
        <v>1765784</v>
      </c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09">
        <f>SUM(C11:N11)</f>
        <v>1765784</v>
      </c>
    </row>
    <row r="12" spans="1:17" x14ac:dyDescent="0.25">
      <c r="A12" s="110" t="s">
        <v>133</v>
      </c>
      <c r="B12" s="111"/>
      <c r="C12" s="111">
        <f>SUM(C3:C11)</f>
        <v>1183299879.8800001</v>
      </c>
      <c r="D12" s="111">
        <f>SUM(D3:D11)</f>
        <v>1051157514.8900001</v>
      </c>
      <c r="E12" s="111"/>
      <c r="F12" s="111"/>
      <c r="G12" s="111"/>
      <c r="H12" s="111"/>
      <c r="I12" s="111"/>
      <c r="J12" s="111"/>
      <c r="K12" s="111"/>
      <c r="L12" s="111"/>
      <c r="M12" s="111"/>
      <c r="N12" s="111"/>
      <c r="O12" s="111">
        <f>SUM(O3:O11)</f>
        <v>216240486.44</v>
      </c>
    </row>
    <row r="13" spans="1:17" x14ac:dyDescent="0.25">
      <c r="A13" s="3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33"/>
    </row>
    <row r="14" spans="1:17" x14ac:dyDescent="0.25">
      <c r="A14" s="2" t="s">
        <v>134</v>
      </c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33"/>
    </row>
    <row r="15" spans="1:17" x14ac:dyDescent="0.25">
      <c r="A15" s="112" t="s">
        <v>135</v>
      </c>
      <c r="B15" s="113"/>
      <c r="C15" s="136">
        <v>10680000</v>
      </c>
      <c r="D15" s="119">
        <f>5477200+2536000+2536200+2536200+1440000+1440000</f>
        <v>15965600</v>
      </c>
      <c r="E15" s="119"/>
      <c r="F15" s="119"/>
      <c r="G15" s="119"/>
      <c r="H15" s="119"/>
      <c r="I15" s="119"/>
      <c r="J15" s="119"/>
      <c r="K15" s="119"/>
      <c r="L15" s="119"/>
      <c r="M15" s="119"/>
      <c r="N15" s="119"/>
      <c r="O15" s="124">
        <f>SUM(C15:N15)</f>
        <v>26645600</v>
      </c>
      <c r="P15" s="104"/>
    </row>
    <row r="16" spans="1:17" x14ac:dyDescent="0.25">
      <c r="A16" s="112" t="s">
        <v>136</v>
      </c>
      <c r="B16" s="113"/>
      <c r="C16" s="119"/>
      <c r="D16" s="119"/>
      <c r="E16" s="119"/>
      <c r="F16" s="119"/>
      <c r="G16" s="119"/>
      <c r="H16" s="119"/>
      <c r="I16" s="119"/>
      <c r="J16" s="119"/>
      <c r="K16" s="119"/>
      <c r="L16" s="119"/>
      <c r="M16" s="119"/>
      <c r="N16" s="119"/>
      <c r="O16" s="124">
        <f>SUM(C16:N16)</f>
        <v>0</v>
      </c>
      <c r="P16" s="104"/>
    </row>
    <row r="17" spans="1:16" x14ac:dyDescent="0.25">
      <c r="A17" s="112" t="s">
        <v>149</v>
      </c>
      <c r="B17" s="13"/>
      <c r="C17" s="119"/>
      <c r="D17" s="119"/>
      <c r="E17" s="119"/>
      <c r="F17" s="119"/>
      <c r="G17" s="119"/>
      <c r="H17" s="119"/>
      <c r="I17" s="119"/>
      <c r="J17" s="119"/>
      <c r="K17" s="119"/>
      <c r="L17" s="119"/>
      <c r="M17" s="119"/>
      <c r="N17" s="119"/>
      <c r="O17" s="124">
        <f>SUM(C17:N17)</f>
        <v>0</v>
      </c>
      <c r="P17" s="104"/>
    </row>
    <row r="18" spans="1:16" x14ac:dyDescent="0.25">
      <c r="A18" s="112" t="s">
        <v>137</v>
      </c>
      <c r="B18" s="13"/>
      <c r="C18" s="119"/>
      <c r="D18" s="119">
        <v>650000</v>
      </c>
      <c r="E18" s="119"/>
      <c r="F18" s="119"/>
      <c r="G18" s="119"/>
      <c r="H18" s="119"/>
      <c r="I18" s="119"/>
      <c r="J18" s="119"/>
      <c r="K18" s="119"/>
      <c r="L18" s="119"/>
      <c r="M18" s="119"/>
      <c r="N18" s="119"/>
      <c r="O18" s="123">
        <f t="shared" ref="O18:O42" si="1">SUM(C18:N18)</f>
        <v>650000</v>
      </c>
      <c r="P18" s="104"/>
    </row>
    <row r="19" spans="1:16" x14ac:dyDescent="0.25">
      <c r="A19" s="40" t="s">
        <v>40</v>
      </c>
      <c r="B19" s="13"/>
      <c r="C19" s="119"/>
      <c r="D19" s="119"/>
      <c r="E19" s="119"/>
      <c r="F19" s="119"/>
      <c r="G19" s="119"/>
      <c r="H19" s="119"/>
      <c r="I19" s="119"/>
      <c r="J19" s="119"/>
      <c r="K19" s="119"/>
      <c r="L19" s="119"/>
      <c r="M19" s="119"/>
      <c r="N19" s="119"/>
      <c r="O19" s="124">
        <f t="shared" si="1"/>
        <v>0</v>
      </c>
      <c r="P19" s="104"/>
    </row>
    <row r="20" spans="1:16" x14ac:dyDescent="0.25">
      <c r="A20" s="112" t="s">
        <v>139</v>
      </c>
      <c r="B20" s="113">
        <v>44187872</v>
      </c>
      <c r="C20" s="119"/>
      <c r="D20" s="119"/>
      <c r="E20" s="119"/>
      <c r="F20" s="119"/>
      <c r="G20" s="119"/>
      <c r="H20" s="119"/>
      <c r="I20" s="119"/>
      <c r="J20" s="119"/>
      <c r="K20" s="119"/>
      <c r="L20" s="119"/>
      <c r="M20" s="119"/>
      <c r="N20" s="119"/>
      <c r="O20" s="123">
        <f t="shared" si="1"/>
        <v>0</v>
      </c>
      <c r="P20" s="104"/>
    </row>
    <row r="21" spans="1:16" x14ac:dyDescent="0.25">
      <c r="A21" s="112" t="s">
        <v>138</v>
      </c>
      <c r="B21" s="13"/>
      <c r="C21" s="136">
        <v>5000000</v>
      </c>
      <c r="D21" s="119"/>
      <c r="E21" s="119"/>
      <c r="F21" s="119"/>
      <c r="G21" s="119"/>
      <c r="H21" s="119"/>
      <c r="I21" s="119"/>
      <c r="J21" s="119"/>
      <c r="K21" s="119"/>
      <c r="L21" s="119"/>
      <c r="M21" s="119"/>
      <c r="N21" s="119"/>
      <c r="O21" s="123">
        <f t="shared" si="1"/>
        <v>5000000</v>
      </c>
      <c r="P21" s="104"/>
    </row>
    <row r="22" spans="1:16" x14ac:dyDescent="0.25">
      <c r="A22" s="112" t="s">
        <v>171</v>
      </c>
      <c r="B22" s="113"/>
      <c r="C22" s="136">
        <v>116670</v>
      </c>
      <c r="D22" s="119"/>
      <c r="E22" s="119"/>
      <c r="F22" s="119"/>
      <c r="G22" s="119"/>
      <c r="H22" s="119"/>
      <c r="I22" s="119"/>
      <c r="J22" s="119"/>
      <c r="K22" s="119"/>
      <c r="L22" s="119"/>
      <c r="M22" s="119"/>
      <c r="N22" s="119"/>
      <c r="O22" s="124">
        <f t="shared" si="1"/>
        <v>116670</v>
      </c>
      <c r="P22" s="104"/>
    </row>
    <row r="23" spans="1:16" x14ac:dyDescent="0.25">
      <c r="A23" s="112" t="s">
        <v>140</v>
      </c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23">
        <f t="shared" si="1"/>
        <v>0</v>
      </c>
      <c r="P23" s="104"/>
    </row>
    <row r="24" spans="1:16" x14ac:dyDescent="0.25">
      <c r="A24" s="40" t="s">
        <v>98</v>
      </c>
      <c r="B24" s="114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23">
        <f t="shared" si="1"/>
        <v>0</v>
      </c>
      <c r="P24" s="104"/>
    </row>
    <row r="25" spans="1:16" x14ac:dyDescent="0.25">
      <c r="A25" s="112" t="s">
        <v>141</v>
      </c>
      <c r="B25" s="114"/>
      <c r="C25" s="119"/>
      <c r="D25" s="119"/>
      <c r="E25" s="119"/>
      <c r="F25" s="119"/>
      <c r="G25" s="119"/>
      <c r="H25" s="119"/>
      <c r="I25" s="119"/>
      <c r="J25" s="119"/>
      <c r="K25" s="119"/>
      <c r="L25" s="119"/>
      <c r="M25" s="119"/>
      <c r="N25" s="119"/>
      <c r="O25" s="123">
        <f t="shared" si="1"/>
        <v>0</v>
      </c>
      <c r="P25" s="104"/>
    </row>
    <row r="26" spans="1:16" x14ac:dyDescent="0.25">
      <c r="A26" s="112" t="s">
        <v>147</v>
      </c>
      <c r="B26" s="13"/>
      <c r="C26" s="119"/>
      <c r="D26" s="119"/>
      <c r="E26" s="119"/>
      <c r="F26" s="119"/>
      <c r="G26" s="119"/>
      <c r="H26" s="119"/>
      <c r="I26" s="119"/>
      <c r="J26" s="119"/>
      <c r="K26" s="119"/>
      <c r="L26" s="119"/>
      <c r="M26" s="119"/>
      <c r="N26" s="119"/>
      <c r="O26" s="123">
        <f t="shared" si="1"/>
        <v>0</v>
      </c>
      <c r="P26" s="104"/>
    </row>
    <row r="27" spans="1:16" x14ac:dyDescent="0.25">
      <c r="A27" s="112" t="s">
        <v>142</v>
      </c>
      <c r="B27" s="113"/>
      <c r="C27" s="138">
        <v>3243437.82</v>
      </c>
      <c r="D27" s="129"/>
      <c r="E27" s="129"/>
      <c r="F27" s="129"/>
      <c r="G27" s="129"/>
      <c r="H27" s="129"/>
      <c r="I27" s="129"/>
      <c r="J27" s="129"/>
      <c r="K27" s="129"/>
      <c r="L27" s="129"/>
      <c r="M27" s="129"/>
      <c r="N27" s="129"/>
      <c r="O27" s="123">
        <f t="shared" si="1"/>
        <v>3243437.82</v>
      </c>
      <c r="P27" s="104"/>
    </row>
    <row r="28" spans="1:16" s="60" customFormat="1" x14ac:dyDescent="0.25">
      <c r="A28" s="60" t="s">
        <v>146</v>
      </c>
      <c r="C28" s="125"/>
      <c r="D28" s="125">
        <v>1767000</v>
      </c>
      <c r="E28" s="125"/>
      <c r="F28" s="125"/>
      <c r="G28" s="125"/>
      <c r="H28" s="125"/>
      <c r="I28" s="125"/>
      <c r="J28" s="125"/>
      <c r="K28" s="125"/>
      <c r="L28" s="125"/>
      <c r="M28" s="125"/>
      <c r="N28" s="125"/>
      <c r="O28" s="123">
        <f t="shared" si="1"/>
        <v>1767000</v>
      </c>
      <c r="P28" s="104"/>
    </row>
    <row r="29" spans="1:16" s="102" customFormat="1" x14ac:dyDescent="0.25">
      <c r="A29" s="40" t="s">
        <v>46</v>
      </c>
      <c r="B29" s="60"/>
      <c r="C29" s="125"/>
      <c r="D29" s="125"/>
      <c r="E29" s="125"/>
      <c r="F29" s="125"/>
      <c r="G29" s="125"/>
      <c r="H29" s="125"/>
      <c r="I29" s="125"/>
      <c r="J29" s="125"/>
      <c r="K29" s="125"/>
      <c r="L29" s="125"/>
      <c r="M29" s="125"/>
      <c r="N29" s="125"/>
      <c r="O29" s="123">
        <f t="shared" si="1"/>
        <v>0</v>
      </c>
      <c r="P29" s="104"/>
    </row>
    <row r="30" spans="1:16" s="102" customFormat="1" x14ac:dyDescent="0.25">
      <c r="A30" s="40" t="s">
        <v>167</v>
      </c>
      <c r="B30" s="60"/>
      <c r="C30" s="125"/>
      <c r="D30" s="125"/>
      <c r="E30" s="125"/>
      <c r="F30" s="125"/>
      <c r="G30" s="125"/>
      <c r="H30" s="125"/>
      <c r="I30" s="125"/>
      <c r="J30" s="125"/>
      <c r="K30" s="125"/>
      <c r="L30" s="125"/>
      <c r="M30" s="125"/>
      <c r="N30" s="125"/>
      <c r="O30" s="123">
        <f t="shared" si="1"/>
        <v>0</v>
      </c>
      <c r="P30" s="104"/>
    </row>
    <row r="31" spans="1:16" s="102" customFormat="1" x14ac:dyDescent="0.25">
      <c r="A31" s="60" t="s">
        <v>150</v>
      </c>
      <c r="B31" s="60"/>
      <c r="C31" s="60"/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123">
        <f t="shared" si="1"/>
        <v>0</v>
      </c>
      <c r="P31" s="104"/>
    </row>
    <row r="32" spans="1:16" x14ac:dyDescent="0.25">
      <c r="A32" s="112" t="s">
        <v>169</v>
      </c>
      <c r="B32" s="33"/>
      <c r="C32" s="136">
        <f>4299000+32482000</f>
        <v>36781000</v>
      </c>
      <c r="D32" s="13">
        <f>1505000+48000</f>
        <v>1553000</v>
      </c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23">
        <f t="shared" si="1"/>
        <v>38334000</v>
      </c>
      <c r="P32" s="104"/>
    </row>
    <row r="33" spans="1:17" x14ac:dyDescent="0.25">
      <c r="A33" s="112" t="s">
        <v>175</v>
      </c>
      <c r="B33" s="33"/>
      <c r="C33" s="13"/>
      <c r="D33" s="13">
        <v>4346000</v>
      </c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23">
        <f t="shared" si="1"/>
        <v>4346000</v>
      </c>
      <c r="P33" s="104"/>
    </row>
    <row r="34" spans="1:17" x14ac:dyDescent="0.25">
      <c r="A34" s="112" t="s">
        <v>152</v>
      </c>
      <c r="B34" s="115"/>
      <c r="C34" s="119"/>
      <c r="D34" s="119">
        <f>7364000+3283000+11310000+28451000</f>
        <v>50408000</v>
      </c>
      <c r="E34" s="119"/>
      <c r="F34" s="119"/>
      <c r="G34" s="119"/>
      <c r="H34" s="119"/>
      <c r="I34" s="119"/>
      <c r="J34" s="119"/>
      <c r="K34" s="119"/>
      <c r="L34" s="119"/>
      <c r="M34" s="119"/>
      <c r="N34" s="119"/>
      <c r="O34" s="123">
        <f t="shared" si="1"/>
        <v>50408000</v>
      </c>
      <c r="P34" s="104">
        <f>B34</f>
        <v>0</v>
      </c>
    </row>
    <row r="35" spans="1:17" x14ac:dyDescent="0.25">
      <c r="A35" s="112" t="s">
        <v>170</v>
      </c>
      <c r="B35" s="115"/>
      <c r="C35" s="136">
        <f>9013000</f>
        <v>9013000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23">
        <f t="shared" si="1"/>
        <v>9013000</v>
      </c>
      <c r="P35" s="104">
        <f t="shared" ref="P35:P53" si="2">B35</f>
        <v>0</v>
      </c>
    </row>
    <row r="36" spans="1:17" x14ac:dyDescent="0.25">
      <c r="A36" s="116" t="s">
        <v>157</v>
      </c>
      <c r="B36" s="115"/>
      <c r="C36" s="119"/>
      <c r="D36" s="119"/>
      <c r="E36" s="119"/>
      <c r="F36" s="119"/>
      <c r="G36" s="119"/>
      <c r="H36" s="119"/>
      <c r="I36" s="119"/>
      <c r="J36" s="119"/>
      <c r="K36" s="119"/>
      <c r="L36" s="119"/>
      <c r="M36" s="119"/>
      <c r="N36" s="119"/>
      <c r="O36" s="123">
        <f t="shared" si="1"/>
        <v>0</v>
      </c>
      <c r="P36" s="104"/>
    </row>
    <row r="37" spans="1:17" x14ac:dyDescent="0.25">
      <c r="A37" s="112" t="s">
        <v>151</v>
      </c>
      <c r="B37" s="13"/>
      <c r="C37" s="119"/>
      <c r="D37" s="119"/>
      <c r="E37" s="119"/>
      <c r="F37" s="119"/>
      <c r="G37" s="119"/>
      <c r="H37" s="119"/>
      <c r="I37" s="119"/>
      <c r="J37" s="119"/>
      <c r="K37" s="119"/>
      <c r="L37" s="119"/>
      <c r="M37" s="119"/>
      <c r="N37" s="119"/>
      <c r="O37" s="123">
        <f t="shared" si="1"/>
        <v>0</v>
      </c>
      <c r="P37" s="104">
        <f t="shared" si="2"/>
        <v>0</v>
      </c>
    </row>
    <row r="38" spans="1:17" x14ac:dyDescent="0.25">
      <c r="A38" s="112" t="s">
        <v>156</v>
      </c>
      <c r="B38" s="13"/>
      <c r="C38" s="119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23">
        <f t="shared" si="1"/>
        <v>0</v>
      </c>
      <c r="P38" s="104">
        <f t="shared" si="2"/>
        <v>0</v>
      </c>
    </row>
    <row r="39" spans="1:17" x14ac:dyDescent="0.25">
      <c r="A39" s="116" t="s">
        <v>168</v>
      </c>
      <c r="B39" s="33"/>
      <c r="C39" s="33"/>
      <c r="D39" s="33"/>
      <c r="E39" s="119"/>
      <c r="F39" s="119"/>
      <c r="G39" s="119"/>
      <c r="H39" s="119"/>
      <c r="I39" s="119"/>
      <c r="J39" s="119"/>
      <c r="K39" s="119"/>
      <c r="L39" s="119"/>
      <c r="M39" s="119"/>
      <c r="N39" s="119"/>
      <c r="O39" s="119">
        <f t="shared" si="1"/>
        <v>0</v>
      </c>
      <c r="P39" s="104"/>
    </row>
    <row r="40" spans="1:17" x14ac:dyDescent="0.25">
      <c r="A40" s="116" t="s">
        <v>155</v>
      </c>
      <c r="B40" s="33"/>
      <c r="C40" s="33"/>
      <c r="D40" s="33"/>
      <c r="E40" s="33"/>
      <c r="F40" s="13"/>
      <c r="G40" s="33"/>
      <c r="H40" s="33"/>
      <c r="I40" s="33"/>
      <c r="J40" s="33"/>
      <c r="K40" s="33"/>
      <c r="L40" s="33"/>
      <c r="M40" s="33"/>
      <c r="N40" s="33"/>
      <c r="O40" s="123">
        <f t="shared" si="1"/>
        <v>0</v>
      </c>
      <c r="P40" s="104">
        <f>SUM(P34:P39)</f>
        <v>0</v>
      </c>
      <c r="Q40" s="120"/>
    </row>
    <row r="41" spans="1:17" x14ac:dyDescent="0.25">
      <c r="A41" s="112" t="s">
        <v>143</v>
      </c>
      <c r="B41" s="33"/>
      <c r="C41" s="142">
        <f>1004823+14003+5494</f>
        <v>1024320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23">
        <f t="shared" si="1"/>
        <v>1024320</v>
      </c>
      <c r="P41" s="104"/>
    </row>
    <row r="42" spans="1:17" x14ac:dyDescent="0.25">
      <c r="A42" s="116" t="s">
        <v>154</v>
      </c>
      <c r="B42" s="33"/>
      <c r="C42" s="127"/>
      <c r="D42" s="127"/>
      <c r="E42" s="127"/>
      <c r="F42" s="127"/>
      <c r="G42" s="119"/>
      <c r="H42" s="127"/>
      <c r="I42" s="127"/>
      <c r="J42" s="127"/>
      <c r="K42" s="127"/>
      <c r="L42" s="127"/>
      <c r="M42" s="127"/>
      <c r="N42" s="127"/>
      <c r="O42" s="123">
        <f t="shared" si="1"/>
        <v>0</v>
      </c>
      <c r="P42" s="104"/>
    </row>
    <row r="43" spans="1:17" x14ac:dyDescent="0.25">
      <c r="A43" s="112" t="s">
        <v>143</v>
      </c>
      <c r="B43" s="121"/>
      <c r="C43" s="121"/>
      <c r="D43" s="121"/>
      <c r="E43" s="121"/>
      <c r="F43" s="121"/>
      <c r="G43" s="121"/>
      <c r="H43" s="121"/>
      <c r="I43" s="121"/>
      <c r="J43" s="121"/>
      <c r="K43" s="121"/>
      <c r="L43" s="121"/>
      <c r="M43" s="121"/>
      <c r="N43" s="121"/>
      <c r="O43" s="117"/>
      <c r="P43" s="104"/>
    </row>
    <row r="44" spans="1:17" x14ac:dyDescent="0.25">
      <c r="A44" s="112" t="s">
        <v>158</v>
      </c>
      <c r="B44" s="121"/>
      <c r="C44" s="121"/>
      <c r="D44" s="121"/>
      <c r="E44" s="121"/>
      <c r="F44" s="121"/>
      <c r="G44" s="121"/>
      <c r="H44" s="121"/>
      <c r="I44" s="121"/>
      <c r="J44" s="121"/>
      <c r="K44" s="121"/>
      <c r="L44" s="121"/>
      <c r="M44" s="121"/>
      <c r="N44" s="121"/>
      <c r="O44" s="117"/>
      <c r="P44" s="104"/>
    </row>
    <row r="45" spans="1:17" x14ac:dyDescent="0.25">
      <c r="A45" s="112" t="s">
        <v>159</v>
      </c>
      <c r="B45" s="121"/>
      <c r="C45" s="126"/>
      <c r="D45" s="126"/>
      <c r="E45" s="126"/>
      <c r="F45" s="126"/>
      <c r="G45" s="126"/>
      <c r="H45" s="126"/>
      <c r="I45" s="126"/>
      <c r="J45" s="126"/>
      <c r="K45" s="126"/>
      <c r="L45" s="126"/>
      <c r="M45" s="126"/>
      <c r="N45" s="126"/>
      <c r="O45" s="126">
        <f>SUM(F45:N45)</f>
        <v>0</v>
      </c>
      <c r="P45" s="104"/>
    </row>
    <row r="46" spans="1:17" x14ac:dyDescent="0.25">
      <c r="A46" s="112" t="s">
        <v>160</v>
      </c>
      <c r="B46" s="121"/>
      <c r="C46" s="141">
        <v>6932488.6699999999</v>
      </c>
      <c r="D46" s="126"/>
      <c r="E46" s="126"/>
      <c r="F46" s="126"/>
      <c r="G46" s="126"/>
      <c r="H46" s="126"/>
      <c r="I46" s="126"/>
      <c r="J46" s="126"/>
      <c r="K46" s="126"/>
      <c r="L46" s="126"/>
      <c r="M46" s="126"/>
      <c r="N46" s="126"/>
      <c r="O46" s="126">
        <f>SUM(C46:N46)</f>
        <v>6932488.6699999999</v>
      </c>
      <c r="P46" s="104"/>
    </row>
    <row r="47" spans="1:17" x14ac:dyDescent="0.25">
      <c r="A47" s="112" t="s">
        <v>161</v>
      </c>
      <c r="B47" s="121"/>
      <c r="C47" s="126"/>
      <c r="D47" s="126"/>
      <c r="E47" s="130"/>
      <c r="F47" s="130"/>
      <c r="G47" s="130"/>
      <c r="H47" s="130"/>
      <c r="I47" s="126"/>
      <c r="J47" s="126"/>
      <c r="K47" s="126"/>
      <c r="L47" s="126"/>
      <c r="M47" s="126"/>
      <c r="N47" s="126"/>
      <c r="O47" s="126">
        <f>SUM(E47:N47)</f>
        <v>0</v>
      </c>
      <c r="P47" s="104"/>
    </row>
    <row r="48" spans="1:17" x14ac:dyDescent="0.25">
      <c r="A48" s="112" t="s">
        <v>162</v>
      </c>
      <c r="B48" s="121"/>
      <c r="C48" s="126"/>
      <c r="D48" s="126"/>
      <c r="E48" s="126"/>
      <c r="F48" s="126"/>
      <c r="G48" s="126"/>
      <c r="H48" s="126"/>
      <c r="I48" s="126"/>
      <c r="J48" s="126"/>
      <c r="K48" s="126"/>
      <c r="L48" s="126"/>
      <c r="M48" s="126"/>
      <c r="N48" s="126"/>
      <c r="O48" s="126">
        <f>SUM(C48:N48)</f>
        <v>0</v>
      </c>
      <c r="P48" s="104"/>
    </row>
    <row r="49" spans="1:16" x14ac:dyDescent="0.25">
      <c r="A49" s="112" t="s">
        <v>163</v>
      </c>
      <c r="B49" s="121"/>
      <c r="C49" s="133">
        <f>100000000+79351448.5</f>
        <v>179351448.5</v>
      </c>
      <c r="D49" s="126"/>
      <c r="E49" s="126"/>
      <c r="F49" s="126"/>
      <c r="G49" s="126"/>
      <c r="H49" s="126"/>
      <c r="I49" s="126"/>
      <c r="J49" s="126"/>
      <c r="K49" s="126"/>
      <c r="L49" s="126"/>
      <c r="M49" s="126"/>
      <c r="N49" s="126"/>
      <c r="O49" s="126">
        <f>SUM(C49:N49)</f>
        <v>179351448.5</v>
      </c>
      <c r="P49" s="104"/>
    </row>
    <row r="50" spans="1:16" x14ac:dyDescent="0.25">
      <c r="A50" s="112" t="s">
        <v>164</v>
      </c>
      <c r="B50" s="121"/>
      <c r="C50" s="121"/>
      <c r="D50" s="121"/>
      <c r="E50" s="121"/>
      <c r="F50" s="121"/>
      <c r="G50" s="121"/>
      <c r="H50" s="121"/>
      <c r="I50" s="121"/>
      <c r="J50" s="121"/>
      <c r="K50" s="121"/>
      <c r="L50" s="121"/>
      <c r="M50" s="121"/>
      <c r="N50" s="121"/>
      <c r="O50" s="117">
        <f>SUM(C50:N50)</f>
        <v>0</v>
      </c>
      <c r="P50" s="104"/>
    </row>
    <row r="51" spans="1:16" x14ac:dyDescent="0.25">
      <c r="A51" s="112" t="s">
        <v>166</v>
      </c>
      <c r="B51" s="121"/>
      <c r="C51" s="126"/>
      <c r="D51" s="126"/>
      <c r="E51" s="126"/>
      <c r="F51" s="126"/>
      <c r="G51" s="126"/>
      <c r="H51" s="126"/>
      <c r="I51" s="126"/>
      <c r="J51" s="126"/>
      <c r="K51" s="126"/>
      <c r="L51" s="126"/>
      <c r="M51" s="126"/>
      <c r="N51" s="126"/>
      <c r="O51" s="126">
        <f>SUM(C51:N51)</f>
        <v>0</v>
      </c>
      <c r="P51" s="104"/>
    </row>
    <row r="52" spans="1:16" x14ac:dyDescent="0.25">
      <c r="A52" s="112" t="s">
        <v>144</v>
      </c>
      <c r="B52" s="117"/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109"/>
      <c r="P52" s="104"/>
    </row>
    <row r="53" spans="1:16" x14ac:dyDescent="0.25">
      <c r="A53" s="110" t="s">
        <v>145</v>
      </c>
      <c r="B53" s="33"/>
      <c r="C53" s="109">
        <f>SUM(C15:C52)</f>
        <v>252142364.99000001</v>
      </c>
      <c r="D53" s="109">
        <f>SUM(D15:D52)</f>
        <v>74689600</v>
      </c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109">
        <f>SUM(O15:O52)</f>
        <v>326831964.99000001</v>
      </c>
      <c r="P53" s="104">
        <f t="shared" si="2"/>
        <v>0</v>
      </c>
    </row>
    <row r="54" spans="1:16" x14ac:dyDescent="0.25">
      <c r="A54" s="33" t="s">
        <v>177</v>
      </c>
      <c r="B54" s="33"/>
      <c r="C54" s="132">
        <f>C12-C53</f>
        <v>931157514.8900001</v>
      </c>
      <c r="D54" s="132">
        <f>D12-D53</f>
        <v>976467914.8900001</v>
      </c>
      <c r="E54" s="132">
        <f t="shared" ref="E54:N54" si="3">E12-E53</f>
        <v>0</v>
      </c>
      <c r="F54" s="132">
        <f t="shared" si="3"/>
        <v>0</v>
      </c>
      <c r="G54" s="132">
        <f t="shared" si="3"/>
        <v>0</v>
      </c>
      <c r="H54" s="132">
        <f t="shared" si="3"/>
        <v>0</v>
      </c>
      <c r="I54" s="132">
        <f t="shared" si="3"/>
        <v>0</v>
      </c>
      <c r="J54" s="132">
        <f t="shared" si="3"/>
        <v>0</v>
      </c>
      <c r="K54" s="132">
        <f t="shared" si="3"/>
        <v>0</v>
      </c>
      <c r="L54" s="132">
        <f t="shared" si="3"/>
        <v>0</v>
      </c>
      <c r="M54" s="132">
        <f t="shared" si="3"/>
        <v>0</v>
      </c>
      <c r="N54" s="132">
        <f t="shared" si="3"/>
        <v>0</v>
      </c>
      <c r="O54" s="132"/>
    </row>
    <row r="55" spans="1:16" x14ac:dyDescent="0.25">
      <c r="A55" s="33"/>
      <c r="B55" s="33"/>
      <c r="C55" s="33"/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33"/>
    </row>
    <row r="56" spans="1:16" x14ac:dyDescent="0.25">
      <c r="A56" s="33" t="s">
        <v>178</v>
      </c>
      <c r="B56" s="118"/>
      <c r="C56" s="33"/>
      <c r="D56" s="33"/>
      <c r="E56" s="33"/>
      <c r="F56" s="33"/>
      <c r="G56" s="33"/>
      <c r="H56" s="33"/>
      <c r="I56" s="33"/>
      <c r="J56" s="33"/>
      <c r="K56" s="33"/>
      <c r="L56" s="33"/>
      <c r="M56" s="33"/>
      <c r="N56" s="33"/>
      <c r="O56" s="33"/>
    </row>
    <row r="58" spans="1:16" x14ac:dyDescent="0.25">
      <c r="A58" t="s">
        <v>148</v>
      </c>
    </row>
    <row r="59" spans="1:16" x14ac:dyDescent="0.25">
      <c r="A59" s="122"/>
    </row>
  </sheetData>
  <mergeCells count="1">
    <mergeCell ref="B1:O1"/>
  </mergeCells>
  <phoneticPr fontId="9" type="noConversion"/>
  <pageMargins left="0.70866141732283472" right="0.70866141732283472" top="0.74803149606299213" bottom="0.74803149606299213" header="0.31496062992125984" footer="0.31496062992125984"/>
  <pageSetup scale="50" orientation="landscape" r:id="rId1"/>
  <colBreaks count="1" manualBreakCount="1">
    <brk id="15" max="1048575" man="1"/>
  </col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63"/>
  <sheetViews>
    <sheetView topLeftCell="A28" workbookViewId="0">
      <selection sqref="A1:O60"/>
    </sheetView>
  </sheetViews>
  <sheetFormatPr baseColWidth="10" defaultRowHeight="15" x14ac:dyDescent="0.25"/>
  <cols>
    <col min="1" max="1" width="48.7109375" bestFit="1" customWidth="1"/>
    <col min="2" max="2" width="15" customWidth="1"/>
    <col min="3" max="3" width="16.85546875" bestFit="1" customWidth="1"/>
    <col min="4" max="4" width="16.7109375" customWidth="1"/>
    <col min="5" max="5" width="15.140625" bestFit="1" customWidth="1"/>
    <col min="15" max="15" width="12.5703125" bestFit="1" customWidth="1"/>
  </cols>
  <sheetData>
    <row r="1" spans="1:15" x14ac:dyDescent="0.25">
      <c r="A1" s="33"/>
      <c r="B1" s="199" t="s">
        <v>174</v>
      </c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200"/>
      <c r="O1" s="201"/>
    </row>
    <row r="2" spans="1:15" x14ac:dyDescent="0.25">
      <c r="A2" s="2" t="s">
        <v>15</v>
      </c>
      <c r="B2" s="107" t="s">
        <v>121</v>
      </c>
      <c r="C2" s="107" t="s">
        <v>119</v>
      </c>
      <c r="D2" s="107" t="s">
        <v>120</v>
      </c>
      <c r="E2" s="107" t="s">
        <v>122</v>
      </c>
      <c r="F2" s="107" t="s">
        <v>123</v>
      </c>
      <c r="G2" s="107" t="s">
        <v>124</v>
      </c>
      <c r="H2" s="107" t="s">
        <v>125</v>
      </c>
      <c r="I2" s="107" t="s">
        <v>126</v>
      </c>
      <c r="J2" s="107" t="s">
        <v>127</v>
      </c>
      <c r="K2" s="107" t="s">
        <v>128</v>
      </c>
      <c r="L2" s="107" t="s">
        <v>129</v>
      </c>
      <c r="M2" s="107" t="s">
        <v>130</v>
      </c>
      <c r="N2" s="107" t="s">
        <v>131</v>
      </c>
      <c r="O2" s="107" t="s">
        <v>13</v>
      </c>
    </row>
    <row r="3" spans="1:15" x14ac:dyDescent="0.25">
      <c r="A3" s="2" t="s">
        <v>132</v>
      </c>
      <c r="B3" s="13"/>
      <c r="C3" s="128">
        <v>1087059393.4400001</v>
      </c>
      <c r="D3" s="151">
        <f>C55</f>
        <v>587643421.3900001</v>
      </c>
      <c r="E3" s="151">
        <f>D54</f>
        <v>681200544.9000001</v>
      </c>
      <c r="F3" s="108"/>
      <c r="G3" s="108"/>
      <c r="H3" s="108"/>
      <c r="I3" s="108"/>
      <c r="J3" s="108"/>
      <c r="K3" s="108"/>
      <c r="L3" s="108"/>
      <c r="M3" s="108"/>
      <c r="N3" s="108"/>
      <c r="O3" s="109"/>
    </row>
    <row r="4" spans="1:15" x14ac:dyDescent="0.25">
      <c r="A4" s="33" t="s">
        <v>115</v>
      </c>
      <c r="B4" s="13"/>
      <c r="C4" s="156">
        <v>53039309</v>
      </c>
      <c r="D4" s="13"/>
      <c r="E4" s="162">
        <f>32339715+40813502+80520</f>
        <v>73233737</v>
      </c>
      <c r="F4" s="13"/>
      <c r="G4" s="13"/>
      <c r="H4" s="13"/>
      <c r="I4" s="13"/>
      <c r="J4" s="13"/>
      <c r="K4" s="13"/>
      <c r="L4" s="13"/>
      <c r="M4" s="13"/>
      <c r="N4" s="13"/>
      <c r="O4" s="109">
        <f t="shared" ref="O4:O7" si="0">SUM(C4:N4)</f>
        <v>126273046</v>
      </c>
    </row>
    <row r="5" spans="1:15" x14ac:dyDescent="0.25">
      <c r="A5" s="33" t="s">
        <v>116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09">
        <f t="shared" si="0"/>
        <v>0</v>
      </c>
    </row>
    <row r="6" spans="1:15" x14ac:dyDescent="0.25">
      <c r="A6" s="33" t="s">
        <v>117</v>
      </c>
      <c r="B6" s="13"/>
      <c r="C6" s="157">
        <f>78588+116363.44</f>
        <v>194951.44</v>
      </c>
      <c r="D6" s="156">
        <f>48030</f>
        <v>48030</v>
      </c>
      <c r="E6" s="113">
        <v>44856</v>
      </c>
      <c r="F6" s="13"/>
      <c r="G6" s="13"/>
      <c r="H6" s="13"/>
      <c r="I6" s="13"/>
      <c r="J6" s="13"/>
      <c r="K6" s="13"/>
      <c r="L6" s="13"/>
      <c r="M6" s="13"/>
      <c r="N6" s="13"/>
      <c r="O6" s="109">
        <f t="shared" si="0"/>
        <v>287837.44</v>
      </c>
    </row>
    <row r="7" spans="1:15" x14ac:dyDescent="0.25">
      <c r="A7" s="33" t="s">
        <v>153</v>
      </c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09">
        <f t="shared" si="0"/>
        <v>0</v>
      </c>
    </row>
    <row r="8" spans="1:15" x14ac:dyDescent="0.25">
      <c r="A8" s="33" t="s">
        <v>165</v>
      </c>
      <c r="B8" s="13"/>
      <c r="C8" s="156">
        <v>40000000</v>
      </c>
      <c r="D8" s="156">
        <f>40000000+40000000+40000000+40000000+40000000</f>
        <v>200000000</v>
      </c>
      <c r="E8" s="113">
        <f>40000000+40000000</f>
        <v>80000000</v>
      </c>
      <c r="F8" s="13"/>
      <c r="G8" s="13"/>
      <c r="H8" s="13"/>
      <c r="I8" s="13"/>
      <c r="J8" s="13"/>
      <c r="K8" s="13"/>
      <c r="L8" s="13"/>
      <c r="M8" s="13"/>
      <c r="N8" s="13"/>
      <c r="O8" s="131">
        <f>SUM(C8:N8)</f>
        <v>320000000</v>
      </c>
    </row>
    <row r="9" spans="1:15" x14ac:dyDescent="0.25">
      <c r="A9" s="33" t="s">
        <v>118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09">
        <f>SUM(C9:N9)</f>
        <v>0</v>
      </c>
    </row>
    <row r="10" spans="1:15" x14ac:dyDescent="0.25">
      <c r="A10" s="33" t="s">
        <v>172</v>
      </c>
      <c r="B10" s="13"/>
      <c r="C10" s="156">
        <f>1123772+116670</f>
        <v>1240442</v>
      </c>
      <c r="D10" s="13"/>
      <c r="E10" s="113">
        <f>116670+116670</f>
        <v>233340</v>
      </c>
      <c r="F10" s="13"/>
      <c r="G10" s="13"/>
      <c r="H10" s="13"/>
      <c r="I10" s="13"/>
      <c r="J10" s="13"/>
      <c r="K10" s="13"/>
      <c r="L10" s="13"/>
      <c r="M10" s="13"/>
      <c r="N10" s="13"/>
      <c r="O10" s="109">
        <f>SUM(C10:N10)</f>
        <v>1473782</v>
      </c>
    </row>
    <row r="11" spans="1:15" x14ac:dyDescent="0.25">
      <c r="A11" s="33" t="s">
        <v>173</v>
      </c>
      <c r="B11" s="13"/>
      <c r="C11" s="156">
        <f>1449191+316593</f>
        <v>1765784</v>
      </c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09">
        <f>SUM(C11:N11)</f>
        <v>1765784</v>
      </c>
    </row>
    <row r="12" spans="1:15" x14ac:dyDescent="0.25">
      <c r="A12" s="110" t="s">
        <v>133</v>
      </c>
      <c r="B12" s="111"/>
      <c r="C12" s="111">
        <f>SUM(C3:C11)</f>
        <v>1183299879.8800001</v>
      </c>
      <c r="D12" s="111">
        <f>SUM(D3:D11)</f>
        <v>787691451.3900001</v>
      </c>
      <c r="E12" s="159">
        <f t="shared" ref="E12:F12" si="1">SUM(E3:E11)</f>
        <v>834712477.9000001</v>
      </c>
      <c r="F12" s="111">
        <f t="shared" si="1"/>
        <v>0</v>
      </c>
      <c r="G12" s="111"/>
      <c r="H12" s="111"/>
      <c r="I12" s="111"/>
      <c r="J12" s="111"/>
      <c r="K12" s="111"/>
      <c r="L12" s="111"/>
      <c r="M12" s="111"/>
      <c r="N12" s="111"/>
      <c r="O12" s="111">
        <f>SUM(O3:O11)</f>
        <v>449800449.44</v>
      </c>
    </row>
    <row r="13" spans="1:15" x14ac:dyDescent="0.25">
      <c r="A13" s="3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33"/>
    </row>
    <row r="14" spans="1:15" x14ac:dyDescent="0.25">
      <c r="A14" s="2" t="s">
        <v>134</v>
      </c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33"/>
    </row>
    <row r="15" spans="1:15" x14ac:dyDescent="0.25">
      <c r="A15" s="112" t="s">
        <v>135</v>
      </c>
      <c r="B15" s="113"/>
      <c r="C15" s="156">
        <v>10680000</v>
      </c>
      <c r="D15" s="156">
        <f>5477200+2536000+2536200+2536200+1440000+1440000+2536200+2536200+2536200+10680000</f>
        <v>34254200</v>
      </c>
      <c r="E15" s="119">
        <f>1440000+1400000+2536200+5477200+2536200+2536200+1796300+12816000+1440000+1440000+2536200+2536200</f>
        <v>38490500</v>
      </c>
      <c r="F15" s="119"/>
      <c r="G15" s="119"/>
      <c r="H15" s="119"/>
      <c r="I15" s="119"/>
      <c r="J15" s="119"/>
      <c r="K15" s="119"/>
      <c r="L15" s="119"/>
      <c r="M15" s="119"/>
      <c r="N15" s="119"/>
      <c r="O15" s="124">
        <f>SUM(C15:N15)</f>
        <v>83424700</v>
      </c>
    </row>
    <row r="16" spans="1:15" x14ac:dyDescent="0.25">
      <c r="A16" s="112" t="s">
        <v>136</v>
      </c>
      <c r="B16" s="113"/>
      <c r="C16" s="119"/>
      <c r="D16" s="156">
        <v>581500</v>
      </c>
      <c r="E16" s="119"/>
      <c r="F16" s="119"/>
      <c r="G16" s="119"/>
      <c r="H16" s="119"/>
      <c r="I16" s="119"/>
      <c r="J16" s="119"/>
      <c r="K16" s="119"/>
      <c r="L16" s="119"/>
      <c r="M16" s="119"/>
      <c r="N16" s="119"/>
      <c r="O16" s="124">
        <f>SUM(C16:N16)</f>
        <v>581500</v>
      </c>
    </row>
    <row r="17" spans="1:15" x14ac:dyDescent="0.25">
      <c r="A17" s="112" t="s">
        <v>149</v>
      </c>
      <c r="B17" s="13"/>
      <c r="C17" s="119"/>
      <c r="D17" s="119"/>
      <c r="E17" s="119"/>
      <c r="F17" s="119"/>
      <c r="G17" s="119"/>
      <c r="H17" s="119"/>
      <c r="I17" s="119"/>
      <c r="J17" s="119"/>
      <c r="K17" s="119"/>
      <c r="L17" s="119"/>
      <c r="M17" s="119"/>
      <c r="N17" s="119"/>
      <c r="O17" s="124">
        <f>SUM(C17:N17)</f>
        <v>0</v>
      </c>
    </row>
    <row r="18" spans="1:15" x14ac:dyDescent="0.25">
      <c r="A18" s="112" t="s">
        <v>137</v>
      </c>
      <c r="B18" s="13"/>
      <c r="C18" s="119"/>
      <c r="D18" s="156">
        <v>650000</v>
      </c>
      <c r="E18" s="119"/>
      <c r="F18" s="119"/>
      <c r="G18" s="119"/>
      <c r="H18" s="119"/>
      <c r="I18" s="119"/>
      <c r="J18" s="119"/>
      <c r="K18" s="119"/>
      <c r="L18" s="119"/>
      <c r="M18" s="119"/>
      <c r="N18" s="119"/>
      <c r="O18" s="123">
        <f t="shared" ref="O18:O42" si="2">SUM(C18:N18)</f>
        <v>650000</v>
      </c>
    </row>
    <row r="19" spans="1:15" x14ac:dyDescent="0.25">
      <c r="A19" s="40" t="s">
        <v>40</v>
      </c>
      <c r="B19" s="13"/>
      <c r="C19" s="119"/>
      <c r="D19" s="119"/>
      <c r="E19" s="119"/>
      <c r="F19" s="119"/>
      <c r="G19" s="119"/>
      <c r="H19" s="119"/>
      <c r="I19" s="119"/>
      <c r="J19" s="119"/>
      <c r="K19" s="119"/>
      <c r="L19" s="119"/>
      <c r="M19" s="119"/>
      <c r="N19" s="119"/>
      <c r="O19" s="124">
        <f t="shared" si="2"/>
        <v>0</v>
      </c>
    </row>
    <row r="20" spans="1:15" x14ac:dyDescent="0.25">
      <c r="A20" s="112" t="s">
        <v>139</v>
      </c>
      <c r="B20" s="113"/>
      <c r="C20" s="119"/>
      <c r="D20" s="119"/>
      <c r="E20" s="119"/>
      <c r="F20" s="119"/>
      <c r="G20" s="119"/>
      <c r="H20" s="119"/>
      <c r="I20" s="119"/>
      <c r="J20" s="119"/>
      <c r="K20" s="119"/>
      <c r="L20" s="119"/>
      <c r="M20" s="119"/>
      <c r="N20" s="119"/>
      <c r="O20" s="123">
        <f t="shared" si="2"/>
        <v>0</v>
      </c>
    </row>
    <row r="21" spans="1:15" x14ac:dyDescent="0.25">
      <c r="A21" s="112" t="s">
        <v>138</v>
      </c>
      <c r="B21" s="13"/>
      <c r="C21" s="156">
        <v>5000000</v>
      </c>
      <c r="D21" s="119"/>
      <c r="E21" s="113">
        <v>10000000</v>
      </c>
      <c r="F21" s="119"/>
      <c r="G21" s="119"/>
      <c r="H21" s="119"/>
      <c r="I21" s="119"/>
      <c r="J21" s="119"/>
      <c r="K21" s="119"/>
      <c r="L21" s="119"/>
      <c r="M21" s="119"/>
      <c r="N21" s="119"/>
      <c r="O21" s="123">
        <f t="shared" si="2"/>
        <v>15000000</v>
      </c>
    </row>
    <row r="22" spans="1:15" x14ac:dyDescent="0.25">
      <c r="A22" s="112" t="s">
        <v>171</v>
      </c>
      <c r="B22" s="113"/>
      <c r="C22" s="156">
        <v>116670</v>
      </c>
      <c r="D22" s="156">
        <v>116670</v>
      </c>
      <c r="E22" s="113">
        <v>116670</v>
      </c>
      <c r="F22" s="119"/>
      <c r="G22" s="119"/>
      <c r="H22" s="119"/>
      <c r="I22" s="119"/>
      <c r="J22" s="119"/>
      <c r="K22" s="119"/>
      <c r="L22" s="119"/>
      <c r="M22" s="119"/>
      <c r="N22" s="119"/>
      <c r="O22" s="124">
        <f t="shared" si="2"/>
        <v>350010</v>
      </c>
    </row>
    <row r="23" spans="1:15" x14ac:dyDescent="0.25">
      <c r="A23" s="112" t="s">
        <v>140</v>
      </c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23">
        <f t="shared" si="2"/>
        <v>0</v>
      </c>
    </row>
    <row r="24" spans="1:15" x14ac:dyDescent="0.25">
      <c r="A24" s="40" t="s">
        <v>98</v>
      </c>
      <c r="B24" s="114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23">
        <f t="shared" si="2"/>
        <v>0</v>
      </c>
    </row>
    <row r="25" spans="1:15" x14ac:dyDescent="0.25">
      <c r="A25" s="112" t="s">
        <v>141</v>
      </c>
      <c r="B25" s="114"/>
      <c r="C25" s="119"/>
      <c r="D25" s="119"/>
      <c r="E25" s="119"/>
      <c r="F25" s="119"/>
      <c r="G25" s="119"/>
      <c r="H25" s="119"/>
      <c r="I25" s="119"/>
      <c r="J25" s="119"/>
      <c r="K25" s="119"/>
      <c r="L25" s="119"/>
      <c r="M25" s="119"/>
      <c r="N25" s="119"/>
      <c r="O25" s="123">
        <f t="shared" si="2"/>
        <v>0</v>
      </c>
    </row>
    <row r="26" spans="1:15" x14ac:dyDescent="0.25">
      <c r="A26" s="112" t="s">
        <v>147</v>
      </c>
      <c r="B26" s="13"/>
      <c r="C26" s="119"/>
      <c r="D26" s="119"/>
      <c r="E26" s="113">
        <v>2189300</v>
      </c>
      <c r="F26" s="119"/>
      <c r="G26" s="119"/>
      <c r="H26" s="119"/>
      <c r="I26" s="119"/>
      <c r="J26" s="119"/>
      <c r="K26" s="119"/>
      <c r="L26" s="119"/>
      <c r="M26" s="119"/>
      <c r="N26" s="119"/>
      <c r="O26" s="123">
        <f t="shared" si="2"/>
        <v>2189300</v>
      </c>
    </row>
    <row r="27" spans="1:15" x14ac:dyDescent="0.25">
      <c r="A27" s="112" t="s">
        <v>142</v>
      </c>
      <c r="B27" s="113"/>
      <c r="C27" s="157">
        <v>3243437.82</v>
      </c>
      <c r="D27" s="157">
        <v>3243437.82</v>
      </c>
      <c r="E27" s="162">
        <v>3243437.82</v>
      </c>
      <c r="F27" s="129"/>
      <c r="G27" s="129"/>
      <c r="H27" s="129"/>
      <c r="I27" s="129"/>
      <c r="J27" s="129"/>
      <c r="K27" s="129"/>
      <c r="L27" s="129"/>
      <c r="M27" s="129"/>
      <c r="N27" s="129"/>
      <c r="O27" s="123">
        <f t="shared" si="2"/>
        <v>9730313.459999999</v>
      </c>
    </row>
    <row r="28" spans="1:15" x14ac:dyDescent="0.25">
      <c r="A28" s="60" t="s">
        <v>146</v>
      </c>
      <c r="B28" s="60"/>
      <c r="C28" s="125"/>
      <c r="D28" s="158">
        <f>1767000+1767000</f>
        <v>3534000</v>
      </c>
      <c r="E28" s="163">
        <v>1767000</v>
      </c>
      <c r="F28" s="125"/>
      <c r="G28" s="125"/>
      <c r="H28" s="125"/>
      <c r="I28" s="125"/>
      <c r="J28" s="125"/>
      <c r="K28" s="125"/>
      <c r="L28" s="125"/>
      <c r="M28" s="125"/>
      <c r="N28" s="125"/>
      <c r="O28" s="123">
        <f t="shared" si="2"/>
        <v>5301000</v>
      </c>
    </row>
    <row r="29" spans="1:15" x14ac:dyDescent="0.25">
      <c r="A29" s="40" t="s">
        <v>46</v>
      </c>
      <c r="B29" s="60"/>
      <c r="C29" s="125"/>
      <c r="D29" s="125"/>
      <c r="E29" s="125"/>
      <c r="F29" s="125"/>
      <c r="G29" s="125"/>
      <c r="H29" s="125"/>
      <c r="I29" s="125"/>
      <c r="J29" s="125"/>
      <c r="K29" s="125"/>
      <c r="L29" s="125"/>
      <c r="M29" s="125"/>
      <c r="N29" s="125"/>
      <c r="O29" s="123">
        <f t="shared" si="2"/>
        <v>0</v>
      </c>
    </row>
    <row r="30" spans="1:15" x14ac:dyDescent="0.25">
      <c r="A30" s="40" t="s">
        <v>167</v>
      </c>
      <c r="B30" s="60"/>
      <c r="C30" s="125"/>
      <c r="D30" s="125"/>
      <c r="E30" s="125"/>
      <c r="F30" s="125"/>
      <c r="G30" s="125"/>
      <c r="H30" s="125"/>
      <c r="I30" s="125"/>
      <c r="J30" s="125"/>
      <c r="K30" s="125"/>
      <c r="L30" s="125"/>
      <c r="M30" s="125"/>
      <c r="N30" s="125"/>
      <c r="O30" s="123">
        <f t="shared" si="2"/>
        <v>0</v>
      </c>
    </row>
    <row r="31" spans="1:15" x14ac:dyDescent="0.25">
      <c r="A31" s="60" t="s">
        <v>150</v>
      </c>
      <c r="B31" s="60"/>
      <c r="C31" s="60"/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123">
        <f t="shared" si="2"/>
        <v>0</v>
      </c>
    </row>
    <row r="32" spans="1:15" x14ac:dyDescent="0.25">
      <c r="A32" s="112" t="s">
        <v>169</v>
      </c>
      <c r="B32" s="33"/>
      <c r="C32" s="156">
        <f>4299000+32482000</f>
        <v>36781000</v>
      </c>
      <c r="D32" s="156">
        <f>1505000+48000</f>
        <v>1553000</v>
      </c>
      <c r="E32" s="113">
        <f>48000+1505000</f>
        <v>1553000</v>
      </c>
      <c r="F32" s="13"/>
      <c r="G32" s="13"/>
      <c r="H32" s="13"/>
      <c r="I32" s="13"/>
      <c r="J32" s="13"/>
      <c r="K32" s="13"/>
      <c r="L32" s="13"/>
      <c r="M32" s="13"/>
      <c r="N32" s="13"/>
      <c r="O32" s="123">
        <f t="shared" si="2"/>
        <v>39887000</v>
      </c>
    </row>
    <row r="33" spans="1:15" x14ac:dyDescent="0.25">
      <c r="A33" s="112" t="s">
        <v>175</v>
      </c>
      <c r="B33" s="33"/>
      <c r="C33" s="13"/>
      <c r="D33" s="156">
        <v>4346000</v>
      </c>
      <c r="E33" s="113">
        <v>336900</v>
      </c>
      <c r="F33" s="13"/>
      <c r="G33" s="13"/>
      <c r="H33" s="13"/>
      <c r="I33" s="13"/>
      <c r="J33" s="13"/>
      <c r="K33" s="13"/>
      <c r="L33" s="13"/>
      <c r="M33" s="13"/>
      <c r="N33" s="13"/>
      <c r="O33" s="123">
        <f t="shared" si="2"/>
        <v>4682900</v>
      </c>
    </row>
    <row r="34" spans="1:15" x14ac:dyDescent="0.25">
      <c r="A34" s="112" t="s">
        <v>152</v>
      </c>
      <c r="B34" s="115"/>
      <c r="C34" s="119"/>
      <c r="D34" s="156">
        <f>7364000+3283000+11310000+28451000</f>
        <v>50408000</v>
      </c>
      <c r="E34" s="119"/>
      <c r="F34" s="119"/>
      <c r="G34" s="119"/>
      <c r="H34" s="119"/>
      <c r="I34" s="119"/>
      <c r="J34" s="119"/>
      <c r="K34" s="119"/>
      <c r="L34" s="119"/>
      <c r="M34" s="119"/>
      <c r="N34" s="119"/>
      <c r="O34" s="123">
        <f t="shared" si="2"/>
        <v>50408000</v>
      </c>
    </row>
    <row r="35" spans="1:15" x14ac:dyDescent="0.25">
      <c r="A35" s="112" t="s">
        <v>170</v>
      </c>
      <c r="B35" s="115"/>
      <c r="C35" s="156">
        <f>9013000</f>
        <v>9013000</v>
      </c>
      <c r="D35" s="13"/>
      <c r="E35" s="113"/>
      <c r="F35" s="13"/>
      <c r="G35" s="13"/>
      <c r="H35" s="13"/>
      <c r="I35" s="13"/>
      <c r="J35" s="13"/>
      <c r="K35" s="13"/>
      <c r="L35" s="13"/>
      <c r="M35" s="13"/>
      <c r="N35" s="13"/>
      <c r="O35" s="123">
        <f t="shared" si="2"/>
        <v>9013000</v>
      </c>
    </row>
    <row r="36" spans="1:15" x14ac:dyDescent="0.25">
      <c r="A36" s="116" t="s">
        <v>157</v>
      </c>
      <c r="B36" s="115"/>
      <c r="C36" s="119"/>
      <c r="D36" s="119"/>
      <c r="E36" s="113">
        <v>6991640</v>
      </c>
      <c r="F36" s="119"/>
      <c r="G36" s="119"/>
      <c r="H36" s="119"/>
      <c r="I36" s="119"/>
      <c r="J36" s="119"/>
      <c r="K36" s="119"/>
      <c r="L36" s="119"/>
      <c r="M36" s="119"/>
      <c r="N36" s="119"/>
      <c r="O36" s="123">
        <f t="shared" si="2"/>
        <v>6991640</v>
      </c>
    </row>
    <row r="37" spans="1:15" x14ac:dyDescent="0.25">
      <c r="A37" s="112" t="s">
        <v>151</v>
      </c>
      <c r="B37" s="13"/>
      <c r="C37" s="119"/>
      <c r="D37" s="119"/>
      <c r="E37" s="119"/>
      <c r="F37" s="119"/>
      <c r="G37" s="119"/>
      <c r="H37" s="119"/>
      <c r="I37" s="119"/>
      <c r="J37" s="119"/>
      <c r="K37" s="119"/>
      <c r="L37" s="119"/>
      <c r="M37" s="119"/>
      <c r="N37" s="119"/>
      <c r="O37" s="123">
        <f t="shared" si="2"/>
        <v>0</v>
      </c>
    </row>
    <row r="38" spans="1:15" x14ac:dyDescent="0.25">
      <c r="A38" s="112" t="s">
        <v>156</v>
      </c>
      <c r="B38" s="13"/>
      <c r="C38" s="119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23">
        <f t="shared" si="2"/>
        <v>0</v>
      </c>
    </row>
    <row r="39" spans="1:15" x14ac:dyDescent="0.25">
      <c r="A39" s="116" t="s">
        <v>168</v>
      </c>
      <c r="B39" s="33"/>
      <c r="C39" s="33"/>
      <c r="D39" s="33"/>
      <c r="E39" s="119"/>
      <c r="F39" s="119"/>
      <c r="G39" s="119"/>
      <c r="H39" s="119"/>
      <c r="I39" s="119"/>
      <c r="J39" s="119"/>
      <c r="K39" s="119"/>
      <c r="L39" s="119"/>
      <c r="M39" s="119"/>
      <c r="N39" s="119"/>
      <c r="O39" s="119">
        <f t="shared" si="2"/>
        <v>0</v>
      </c>
    </row>
    <row r="40" spans="1:15" x14ac:dyDescent="0.25">
      <c r="A40" s="116" t="s">
        <v>155</v>
      </c>
      <c r="B40" s="33"/>
      <c r="C40" s="33"/>
      <c r="D40" s="33"/>
      <c r="E40" s="113">
        <v>8082261</v>
      </c>
      <c r="F40" s="13"/>
      <c r="G40" s="33"/>
      <c r="H40" s="33"/>
      <c r="I40" s="33"/>
      <c r="J40" s="33"/>
      <c r="K40" s="33"/>
      <c r="L40" s="33"/>
      <c r="M40" s="33"/>
      <c r="N40" s="33"/>
      <c r="O40" s="123">
        <f t="shared" si="2"/>
        <v>8082261</v>
      </c>
    </row>
    <row r="41" spans="1:15" x14ac:dyDescent="0.25">
      <c r="A41" s="112" t="s">
        <v>143</v>
      </c>
      <c r="B41" s="33"/>
      <c r="C41" s="156">
        <f>1004823+14003+5494+68206+5494</f>
        <v>1098020</v>
      </c>
      <c r="D41" s="160">
        <f>424267+24643+3360+126340</f>
        <v>578610</v>
      </c>
      <c r="E41" s="13">
        <v>1070488</v>
      </c>
      <c r="F41" s="13"/>
      <c r="G41" s="13"/>
      <c r="H41" s="13"/>
      <c r="I41" s="13"/>
      <c r="J41" s="13"/>
      <c r="K41" s="13"/>
      <c r="L41" s="13"/>
      <c r="M41" s="13"/>
      <c r="N41" s="13"/>
      <c r="O41" s="123">
        <f t="shared" si="2"/>
        <v>2747118</v>
      </c>
    </row>
    <row r="42" spans="1:15" x14ac:dyDescent="0.25">
      <c r="A42" s="116" t="s">
        <v>154</v>
      </c>
      <c r="B42" s="33"/>
      <c r="C42" s="127"/>
      <c r="D42" s="127"/>
      <c r="E42" s="127"/>
      <c r="F42" s="127"/>
      <c r="G42" s="119"/>
      <c r="H42" s="127"/>
      <c r="I42" s="127"/>
      <c r="J42" s="127"/>
      <c r="K42" s="127"/>
      <c r="L42" s="127"/>
      <c r="M42" s="127"/>
      <c r="N42" s="127"/>
      <c r="O42" s="123">
        <f t="shared" si="2"/>
        <v>0</v>
      </c>
    </row>
    <row r="43" spans="1:15" x14ac:dyDescent="0.25">
      <c r="A43" s="112" t="s">
        <v>143</v>
      </c>
      <c r="B43" s="121"/>
      <c r="C43" s="121"/>
      <c r="D43" s="121"/>
      <c r="E43" s="121"/>
      <c r="F43" s="121"/>
      <c r="G43" s="121"/>
      <c r="H43" s="121"/>
      <c r="I43" s="121"/>
      <c r="J43" s="121"/>
      <c r="K43" s="121"/>
      <c r="L43" s="121"/>
      <c r="M43" s="121"/>
      <c r="N43" s="121"/>
      <c r="O43" s="117"/>
    </row>
    <row r="44" spans="1:15" x14ac:dyDescent="0.25">
      <c r="A44" s="112" t="s">
        <v>158</v>
      </c>
      <c r="B44" s="121"/>
      <c r="C44" s="121"/>
      <c r="D44" s="121"/>
      <c r="E44" s="121"/>
      <c r="F44" s="121"/>
      <c r="G44" s="121"/>
      <c r="H44" s="121"/>
      <c r="I44" s="121"/>
      <c r="J44" s="121"/>
      <c r="K44" s="121"/>
      <c r="L44" s="121"/>
      <c r="M44" s="121"/>
      <c r="N44" s="121"/>
      <c r="O44" s="117"/>
    </row>
    <row r="45" spans="1:15" x14ac:dyDescent="0.25">
      <c r="A45" s="112" t="s">
        <v>159</v>
      </c>
      <c r="B45" s="121"/>
      <c r="C45" s="126"/>
      <c r="D45" s="126"/>
      <c r="E45" s="126"/>
      <c r="F45" s="126"/>
      <c r="G45" s="126"/>
      <c r="H45" s="126"/>
      <c r="I45" s="126"/>
      <c r="J45" s="126"/>
      <c r="K45" s="126"/>
      <c r="L45" s="126"/>
      <c r="M45" s="126"/>
      <c r="N45" s="126"/>
      <c r="O45" s="126">
        <f>SUM(F45:N45)</f>
        <v>0</v>
      </c>
    </row>
    <row r="46" spans="1:15" x14ac:dyDescent="0.25">
      <c r="A46" s="112" t="s">
        <v>160</v>
      </c>
      <c r="B46" s="121"/>
      <c r="C46" s="155">
        <v>6932488.6699999999</v>
      </c>
      <c r="D46" s="155">
        <v>6932488.6699999999</v>
      </c>
      <c r="E46" s="126"/>
      <c r="F46" s="126"/>
      <c r="G46" s="126"/>
      <c r="H46" s="126"/>
      <c r="I46" s="126"/>
      <c r="J46" s="126"/>
      <c r="K46" s="126"/>
      <c r="L46" s="126"/>
      <c r="M46" s="126"/>
      <c r="N46" s="126"/>
      <c r="O46" s="126">
        <f>SUM(C46:N46)</f>
        <v>13864977.34</v>
      </c>
    </row>
    <row r="47" spans="1:15" x14ac:dyDescent="0.25">
      <c r="A47" s="112" t="s">
        <v>161</v>
      </c>
      <c r="B47" s="121"/>
      <c r="C47" s="126"/>
      <c r="D47" s="126"/>
      <c r="E47" s="164">
        <v>11548688.52</v>
      </c>
      <c r="F47" s="130"/>
      <c r="G47" s="130"/>
      <c r="H47" s="130"/>
      <c r="I47" s="126"/>
      <c r="J47" s="126"/>
      <c r="K47" s="126"/>
      <c r="L47" s="126"/>
      <c r="M47" s="126"/>
      <c r="N47" s="126"/>
      <c r="O47" s="126">
        <f>SUM(E47:N47)</f>
        <v>11548688.52</v>
      </c>
    </row>
    <row r="48" spans="1:15" x14ac:dyDescent="0.25">
      <c r="A48" s="112" t="s">
        <v>162</v>
      </c>
      <c r="B48" s="121"/>
      <c r="C48" s="126"/>
      <c r="D48" s="126"/>
      <c r="E48" s="126"/>
      <c r="F48" s="126"/>
      <c r="G48" s="126"/>
      <c r="H48" s="126"/>
      <c r="I48" s="126"/>
      <c r="J48" s="126"/>
      <c r="K48" s="126"/>
      <c r="L48" s="126"/>
      <c r="M48" s="126"/>
      <c r="N48" s="126"/>
      <c r="O48" s="126">
        <f>SUM(C48:N48)</f>
        <v>0</v>
      </c>
    </row>
    <row r="49" spans="1:15" x14ac:dyDescent="0.25">
      <c r="A49" s="112" t="s">
        <v>163</v>
      </c>
      <c r="B49" s="121"/>
      <c r="C49" s="155">
        <f>100000000+79351448.5</f>
        <v>179351448.5</v>
      </c>
      <c r="D49" s="126"/>
      <c r="E49" s="161">
        <f>100000000+76163779</f>
        <v>176163779</v>
      </c>
      <c r="F49" s="126"/>
      <c r="G49" s="126"/>
      <c r="H49" s="126"/>
      <c r="I49" s="126"/>
      <c r="J49" s="126"/>
      <c r="K49" s="126"/>
      <c r="L49" s="126"/>
      <c r="M49" s="126"/>
      <c r="N49" s="126"/>
      <c r="O49" s="126">
        <f>SUM(C49:N49)</f>
        <v>355515227.5</v>
      </c>
    </row>
    <row r="50" spans="1:15" x14ac:dyDescent="0.25">
      <c r="A50" s="112" t="s">
        <v>164</v>
      </c>
      <c r="B50" s="121"/>
      <c r="C50" s="121"/>
      <c r="D50" s="121"/>
      <c r="E50" s="121"/>
      <c r="F50" s="121"/>
      <c r="G50" s="121"/>
      <c r="H50" s="121"/>
      <c r="I50" s="121"/>
      <c r="J50" s="121"/>
      <c r="K50" s="121"/>
      <c r="L50" s="121"/>
      <c r="M50" s="121"/>
      <c r="N50" s="121"/>
      <c r="O50" s="117">
        <f>SUM(C50:N50)</f>
        <v>0</v>
      </c>
    </row>
    <row r="51" spans="1:15" x14ac:dyDescent="0.25">
      <c r="A51" s="112" t="s">
        <v>166</v>
      </c>
      <c r="B51" s="121"/>
      <c r="C51" s="126"/>
      <c r="D51" s="126"/>
      <c r="E51" s="126"/>
      <c r="F51" s="126"/>
      <c r="G51" s="126"/>
      <c r="H51" s="126"/>
      <c r="I51" s="126"/>
      <c r="J51" s="126"/>
      <c r="K51" s="126"/>
      <c r="L51" s="126"/>
      <c r="M51" s="126"/>
      <c r="N51" s="126"/>
      <c r="O51" s="126">
        <f>SUM(C51:N51)</f>
        <v>0</v>
      </c>
    </row>
    <row r="52" spans="1:15" x14ac:dyDescent="0.25">
      <c r="A52" s="112" t="s">
        <v>180</v>
      </c>
      <c r="B52" s="117"/>
      <c r="C52" s="33"/>
      <c r="D52" s="156">
        <v>293000</v>
      </c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109"/>
    </row>
    <row r="53" spans="1:15" x14ac:dyDescent="0.25">
      <c r="A53" s="110" t="s">
        <v>145</v>
      </c>
      <c r="B53" s="33"/>
      <c r="C53" s="109">
        <f>SUM(C15:C52)</f>
        <v>252216064.99000001</v>
      </c>
      <c r="D53" s="109">
        <f>SUM(D15:D52)</f>
        <v>106490906.48999999</v>
      </c>
      <c r="E53" s="109">
        <f>SUM(E15:E52)</f>
        <v>261553664.33999997</v>
      </c>
      <c r="F53" s="109">
        <f>SUM(F15:F52)</f>
        <v>0</v>
      </c>
      <c r="G53" s="33"/>
      <c r="H53" s="33"/>
      <c r="I53" s="33"/>
      <c r="J53" s="33"/>
      <c r="K53" s="33"/>
      <c r="L53" s="33"/>
      <c r="M53" s="33"/>
      <c r="N53" s="33"/>
      <c r="O53" s="109">
        <f>SUM(O15:O52)</f>
        <v>619967635.81999993</v>
      </c>
    </row>
    <row r="54" spans="1:15" x14ac:dyDescent="0.25">
      <c r="A54" s="33" t="s">
        <v>182</v>
      </c>
      <c r="B54" s="33"/>
      <c r="C54" s="149">
        <f>C12-C53</f>
        <v>931083814.8900001</v>
      </c>
      <c r="D54" s="149">
        <f>D12-D53</f>
        <v>681200544.9000001</v>
      </c>
      <c r="E54" s="132">
        <f t="shared" ref="E54:N54" si="3">E12-E53</f>
        <v>573158813.56000018</v>
      </c>
      <c r="F54" s="132">
        <f t="shared" si="3"/>
        <v>0</v>
      </c>
      <c r="G54" s="132">
        <f t="shared" si="3"/>
        <v>0</v>
      </c>
      <c r="H54" s="132">
        <f t="shared" si="3"/>
        <v>0</v>
      </c>
      <c r="I54" s="132">
        <f t="shared" si="3"/>
        <v>0</v>
      </c>
      <c r="J54" s="132">
        <f t="shared" si="3"/>
        <v>0</v>
      </c>
      <c r="K54" s="132">
        <f t="shared" si="3"/>
        <v>0</v>
      </c>
      <c r="L54" s="132">
        <f t="shared" si="3"/>
        <v>0</v>
      </c>
      <c r="M54" s="132">
        <f t="shared" si="3"/>
        <v>0</v>
      </c>
      <c r="N54" s="132">
        <f t="shared" si="3"/>
        <v>0</v>
      </c>
      <c r="O54" s="132"/>
    </row>
    <row r="55" spans="1:15" x14ac:dyDescent="0.25">
      <c r="A55" s="33"/>
      <c r="B55" s="33"/>
      <c r="C55" s="150">
        <f>C54-B57</f>
        <v>587643421.3900001</v>
      </c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33"/>
    </row>
    <row r="56" spans="1:15" x14ac:dyDescent="0.25">
      <c r="A56" s="33" t="s">
        <v>183</v>
      </c>
      <c r="B56" s="118"/>
      <c r="C56" s="33"/>
      <c r="D56" s="33"/>
      <c r="E56" s="165">
        <f>E54-572985153.56</f>
        <v>173660.00000023842</v>
      </c>
      <c r="F56" s="33"/>
      <c r="G56" s="33"/>
      <c r="H56" s="33"/>
      <c r="I56" s="33"/>
      <c r="J56" s="33"/>
      <c r="K56" s="33"/>
      <c r="L56" s="33"/>
      <c r="M56" s="33"/>
      <c r="N56" s="33"/>
      <c r="O56" s="33"/>
    </row>
    <row r="57" spans="1:15" x14ac:dyDescent="0.25">
      <c r="A57" s="166" t="s">
        <v>184</v>
      </c>
      <c r="B57" s="149">
        <v>343440393.5</v>
      </c>
      <c r="C57" s="149"/>
      <c r="E57">
        <v>116438.52</v>
      </c>
    </row>
    <row r="58" spans="1:15" x14ac:dyDescent="0.25">
      <c r="A58" s="153" t="s">
        <v>179</v>
      </c>
      <c r="B58">
        <v>105136.36</v>
      </c>
      <c r="C58" s="154">
        <f>B57+B58</f>
        <v>343545529.86000001</v>
      </c>
      <c r="D58" s="105">
        <f>B57+B58</f>
        <v>343545529.86000001</v>
      </c>
      <c r="E58" s="105">
        <f>E57+D58</f>
        <v>343661968.38</v>
      </c>
    </row>
    <row r="59" spans="1:15" x14ac:dyDescent="0.25">
      <c r="C59" s="105"/>
      <c r="D59" s="148"/>
    </row>
    <row r="60" spans="1:15" x14ac:dyDescent="0.25">
      <c r="A60" t="s">
        <v>181</v>
      </c>
      <c r="C60" s="152">
        <f>C55+C58</f>
        <v>931188951.25000012</v>
      </c>
      <c r="D60" s="105">
        <f>D54+C58</f>
        <v>1024746074.7600001</v>
      </c>
      <c r="E60" s="105">
        <f>E54+D58</f>
        <v>916704343.4200002</v>
      </c>
    </row>
    <row r="63" spans="1:15" x14ac:dyDescent="0.25">
      <c r="B63" s="148"/>
    </row>
  </sheetData>
  <mergeCells count="1">
    <mergeCell ref="B1:O1"/>
  </mergeCells>
  <pageMargins left="0.7" right="0.7" top="0.75" bottom="0.75" header="0.3" footer="0.3"/>
  <pageSetup paperSize="9" orientation="portrait" horizontalDpi="0" verticalDpi="0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62"/>
  <sheetViews>
    <sheetView topLeftCell="A28" workbookViewId="0">
      <selection activeCell="E42" sqref="E42"/>
    </sheetView>
  </sheetViews>
  <sheetFormatPr baseColWidth="10" defaultRowHeight="15" x14ac:dyDescent="0.25"/>
  <cols>
    <col min="2" max="2" width="31.85546875" customWidth="1"/>
    <col min="3" max="4" width="16.85546875" bestFit="1" customWidth="1"/>
    <col min="5" max="6" width="15.140625" bestFit="1" customWidth="1"/>
    <col min="15" max="15" width="12.5703125" bestFit="1" customWidth="1"/>
  </cols>
  <sheetData>
    <row r="1" spans="1:15" x14ac:dyDescent="0.25">
      <c r="A1" s="33"/>
      <c r="B1" s="199" t="s">
        <v>174</v>
      </c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200"/>
      <c r="O1" s="201"/>
    </row>
    <row r="2" spans="1:15" x14ac:dyDescent="0.25">
      <c r="A2" s="2" t="s">
        <v>15</v>
      </c>
      <c r="B2" s="107" t="s">
        <v>121</v>
      </c>
      <c r="C2" s="107" t="s">
        <v>119</v>
      </c>
      <c r="D2" s="107" t="s">
        <v>120</v>
      </c>
      <c r="E2" s="107" t="s">
        <v>122</v>
      </c>
      <c r="F2" s="107" t="s">
        <v>123</v>
      </c>
      <c r="G2" s="107" t="s">
        <v>124</v>
      </c>
      <c r="H2" s="107" t="s">
        <v>125</v>
      </c>
      <c r="I2" s="107" t="s">
        <v>126</v>
      </c>
      <c r="J2" s="107" t="s">
        <v>127</v>
      </c>
      <c r="K2" s="107" t="s">
        <v>128</v>
      </c>
      <c r="L2" s="107" t="s">
        <v>129</v>
      </c>
      <c r="M2" s="107" t="s">
        <v>130</v>
      </c>
      <c r="N2" s="107" t="s">
        <v>131</v>
      </c>
      <c r="O2" s="107" t="s">
        <v>13</v>
      </c>
    </row>
    <row r="3" spans="1:15" x14ac:dyDescent="0.25">
      <c r="A3" s="2" t="s">
        <v>132</v>
      </c>
      <c r="B3" s="13"/>
      <c r="C3" s="128">
        <v>1087059393.4400001</v>
      </c>
      <c r="D3" s="151">
        <f>C55</f>
        <v>587643421.3900001</v>
      </c>
      <c r="E3" s="151">
        <f>D54</f>
        <v>681196584.9000001</v>
      </c>
      <c r="F3" s="151">
        <f>E54</f>
        <v>572985153.56000018</v>
      </c>
      <c r="G3" s="108"/>
      <c r="H3" s="108"/>
      <c r="I3" s="108"/>
      <c r="J3" s="108"/>
      <c r="K3" s="108"/>
      <c r="L3" s="108"/>
      <c r="M3" s="108"/>
      <c r="N3" s="108"/>
      <c r="O3" s="109"/>
    </row>
    <row r="4" spans="1:15" x14ac:dyDescent="0.25">
      <c r="A4" s="33" t="s">
        <v>115</v>
      </c>
      <c r="B4" s="13"/>
      <c r="C4" s="156">
        <v>53039309</v>
      </c>
      <c r="D4" s="13"/>
      <c r="E4" s="162">
        <f>32339715+40813502+80520</f>
        <v>73233737</v>
      </c>
      <c r="F4" s="13"/>
      <c r="G4" s="13"/>
      <c r="H4" s="13"/>
      <c r="I4" s="13"/>
      <c r="J4" s="13"/>
      <c r="K4" s="13"/>
      <c r="L4" s="13"/>
      <c r="M4" s="13"/>
      <c r="N4" s="13"/>
      <c r="O4" s="109">
        <f t="shared" ref="O4:O7" si="0">SUM(C4:N4)</f>
        <v>126273046</v>
      </c>
    </row>
    <row r="5" spans="1:15" x14ac:dyDescent="0.25">
      <c r="A5" s="33" t="s">
        <v>116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09">
        <f t="shared" si="0"/>
        <v>0</v>
      </c>
    </row>
    <row r="6" spans="1:15" x14ac:dyDescent="0.25">
      <c r="A6" s="33" t="s">
        <v>117</v>
      </c>
      <c r="B6" s="13"/>
      <c r="C6" s="157">
        <f>78588+116363.44</f>
        <v>194951.44</v>
      </c>
      <c r="D6" s="156">
        <f>48030</f>
        <v>48030</v>
      </c>
      <c r="E6" s="113">
        <v>44856</v>
      </c>
      <c r="F6" s="13"/>
      <c r="G6" s="13"/>
      <c r="H6" s="13"/>
      <c r="I6" s="13"/>
      <c r="J6" s="13"/>
      <c r="K6" s="13"/>
      <c r="L6" s="13"/>
      <c r="M6" s="13"/>
      <c r="N6" s="13"/>
      <c r="O6" s="109">
        <f t="shared" si="0"/>
        <v>287837.44</v>
      </c>
    </row>
    <row r="7" spans="1:15" x14ac:dyDescent="0.25">
      <c r="A7" s="33" t="s">
        <v>153</v>
      </c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09">
        <f t="shared" si="0"/>
        <v>0</v>
      </c>
    </row>
    <row r="8" spans="1:15" x14ac:dyDescent="0.25">
      <c r="A8" s="33" t="s">
        <v>165</v>
      </c>
      <c r="B8" s="13"/>
      <c r="C8" s="156">
        <v>40000000</v>
      </c>
      <c r="D8" s="156">
        <f>40000000+40000000+40000000+40000000+40000000</f>
        <v>200000000</v>
      </c>
      <c r="E8" s="113">
        <f>40000000+40000000</f>
        <v>80000000</v>
      </c>
      <c r="F8" s="13"/>
      <c r="G8" s="13"/>
      <c r="H8" s="13"/>
      <c r="I8" s="13"/>
      <c r="J8" s="13"/>
      <c r="K8" s="13"/>
      <c r="L8" s="13"/>
      <c r="M8" s="13"/>
      <c r="N8" s="13"/>
      <c r="O8" s="131">
        <f>SUM(C8:N8)</f>
        <v>320000000</v>
      </c>
    </row>
    <row r="9" spans="1:15" x14ac:dyDescent="0.25">
      <c r="A9" s="33" t="s">
        <v>185</v>
      </c>
      <c r="B9" s="13"/>
      <c r="C9" s="13"/>
      <c r="D9" s="13"/>
      <c r="E9" s="13"/>
      <c r="F9" s="13">
        <v>3800</v>
      </c>
      <c r="G9" s="13"/>
      <c r="H9" s="13"/>
      <c r="I9" s="13"/>
      <c r="J9" s="13"/>
      <c r="K9" s="13"/>
      <c r="L9" s="13"/>
      <c r="M9" s="13"/>
      <c r="N9" s="13"/>
      <c r="O9" s="109">
        <f>SUM(C9:N9)</f>
        <v>3800</v>
      </c>
    </row>
    <row r="10" spans="1:15" x14ac:dyDescent="0.25">
      <c r="A10" s="33" t="s">
        <v>172</v>
      </c>
      <c r="B10" s="13"/>
      <c r="C10" s="156">
        <f>1123772+116670</f>
        <v>1240442</v>
      </c>
      <c r="D10" s="13"/>
      <c r="E10" s="113">
        <f>116670+116670</f>
        <v>233340</v>
      </c>
      <c r="F10" s="13"/>
      <c r="G10" s="13"/>
      <c r="H10" s="13"/>
      <c r="I10" s="13"/>
      <c r="J10" s="13"/>
      <c r="K10" s="13"/>
      <c r="L10" s="13"/>
      <c r="M10" s="13"/>
      <c r="N10" s="13"/>
      <c r="O10" s="109">
        <f>SUM(C10:N10)</f>
        <v>1473782</v>
      </c>
    </row>
    <row r="11" spans="1:15" x14ac:dyDescent="0.25">
      <c r="A11" s="33" t="s">
        <v>173</v>
      </c>
      <c r="B11" s="13"/>
      <c r="C11" s="156">
        <f>1449191+316593</f>
        <v>1765784</v>
      </c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09">
        <f>SUM(C11:N11)</f>
        <v>1765784</v>
      </c>
    </row>
    <row r="12" spans="1:15" x14ac:dyDescent="0.25">
      <c r="A12" s="110" t="s">
        <v>133</v>
      </c>
      <c r="B12" s="111"/>
      <c r="C12" s="111">
        <f>SUM(C3:C11)</f>
        <v>1183299879.8800001</v>
      </c>
      <c r="D12" s="111">
        <f>SUM(D3:D11)</f>
        <v>787691451.3900001</v>
      </c>
      <c r="E12" s="159">
        <f t="shared" ref="E12:F12" si="1">SUM(E3:E11)</f>
        <v>834708517.9000001</v>
      </c>
      <c r="F12" s="111">
        <f t="shared" si="1"/>
        <v>572988953.56000018</v>
      </c>
      <c r="G12" s="111"/>
      <c r="H12" s="111"/>
      <c r="I12" s="111"/>
      <c r="J12" s="111"/>
      <c r="K12" s="111"/>
      <c r="L12" s="111"/>
      <c r="M12" s="111"/>
      <c r="N12" s="111"/>
      <c r="O12" s="111">
        <f>SUM(O3:O11)</f>
        <v>449804249.44</v>
      </c>
    </row>
    <row r="13" spans="1:15" x14ac:dyDescent="0.25">
      <c r="A13" s="3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33"/>
    </row>
    <row r="14" spans="1:15" x14ac:dyDescent="0.25">
      <c r="A14" s="2" t="s">
        <v>134</v>
      </c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33"/>
    </row>
    <row r="15" spans="1:15" x14ac:dyDescent="0.25">
      <c r="A15" s="112" t="s">
        <v>135</v>
      </c>
      <c r="B15" s="113"/>
      <c r="C15" s="156">
        <v>10680000</v>
      </c>
      <c r="D15" s="156">
        <f>5477200+2536000+2536200+2536200+1440000+1440000+2536200+2536200+2536200+10680000</f>
        <v>34254200</v>
      </c>
      <c r="E15" s="113">
        <f>1440000+1440000+2536200+5477200+2536200+2536200+1796300+12816000+1440000+1440000+2536200+2536200</f>
        <v>38530500</v>
      </c>
      <c r="F15" s="119">
        <f>5477200+2536200+1796300</f>
        <v>9809700</v>
      </c>
      <c r="G15" s="119"/>
      <c r="H15" s="119"/>
      <c r="I15" s="119"/>
      <c r="J15" s="119"/>
      <c r="K15" s="119"/>
      <c r="L15" s="119"/>
      <c r="M15" s="119"/>
      <c r="N15" s="119"/>
      <c r="O15" s="124">
        <f>SUM(C15:N15)</f>
        <v>93274400</v>
      </c>
    </row>
    <row r="16" spans="1:15" x14ac:dyDescent="0.25">
      <c r="A16" s="112" t="s">
        <v>136</v>
      </c>
      <c r="B16" s="113"/>
      <c r="C16" s="119"/>
      <c r="D16" s="156">
        <v>581500</v>
      </c>
      <c r="E16" s="119"/>
      <c r="F16" s="119">
        <f>739500</f>
        <v>739500</v>
      </c>
      <c r="G16" s="119"/>
      <c r="H16" s="119"/>
      <c r="I16" s="119"/>
      <c r="J16" s="119"/>
      <c r="K16" s="119"/>
      <c r="L16" s="119"/>
      <c r="M16" s="119"/>
      <c r="N16" s="119"/>
      <c r="O16" s="124">
        <f>SUM(C16:N16)</f>
        <v>1321000</v>
      </c>
    </row>
    <row r="17" spans="1:15" x14ac:dyDescent="0.25">
      <c r="A17" s="112" t="s">
        <v>149</v>
      </c>
      <c r="B17" s="13"/>
      <c r="C17" s="119"/>
      <c r="D17" s="119"/>
      <c r="E17" s="119"/>
      <c r="F17" s="119"/>
      <c r="G17" s="119"/>
      <c r="H17" s="119"/>
      <c r="I17" s="119"/>
      <c r="J17" s="119"/>
      <c r="K17" s="119"/>
      <c r="L17" s="119"/>
      <c r="M17" s="119"/>
      <c r="N17" s="119"/>
      <c r="O17" s="124">
        <f>SUM(C17:N17)</f>
        <v>0</v>
      </c>
    </row>
    <row r="18" spans="1:15" x14ac:dyDescent="0.25">
      <c r="A18" s="112" t="s">
        <v>137</v>
      </c>
      <c r="B18" s="13"/>
      <c r="C18" s="119"/>
      <c r="D18" s="156">
        <v>650000</v>
      </c>
      <c r="E18" s="119"/>
      <c r="F18" s="119">
        <v>650000</v>
      </c>
      <c r="G18" s="119"/>
      <c r="H18" s="119"/>
      <c r="I18" s="119"/>
      <c r="J18" s="119"/>
      <c r="K18" s="119"/>
      <c r="L18" s="119"/>
      <c r="M18" s="119"/>
      <c r="N18" s="119"/>
      <c r="O18" s="123">
        <f t="shared" ref="O18:O42" si="2">SUM(C18:N18)</f>
        <v>1300000</v>
      </c>
    </row>
    <row r="19" spans="1:15" x14ac:dyDescent="0.25">
      <c r="A19" s="40" t="s">
        <v>40</v>
      </c>
      <c r="B19" s="13"/>
      <c r="C19" s="119"/>
      <c r="D19" s="119"/>
      <c r="E19" s="119"/>
      <c r="F19" s="119"/>
      <c r="G19" s="119"/>
      <c r="H19" s="119"/>
      <c r="I19" s="119"/>
      <c r="J19" s="119"/>
      <c r="K19" s="119"/>
      <c r="L19" s="119"/>
      <c r="M19" s="119"/>
      <c r="N19" s="119"/>
      <c r="O19" s="124">
        <f t="shared" si="2"/>
        <v>0</v>
      </c>
    </row>
    <row r="20" spans="1:15" x14ac:dyDescent="0.25">
      <c r="A20" s="112" t="s">
        <v>139</v>
      </c>
      <c r="B20" s="113"/>
      <c r="C20" s="119"/>
      <c r="D20" s="119"/>
      <c r="E20" s="119"/>
      <c r="F20" s="119"/>
      <c r="G20" s="119"/>
      <c r="H20" s="119"/>
      <c r="I20" s="119"/>
      <c r="J20" s="119"/>
      <c r="K20" s="119"/>
      <c r="L20" s="119"/>
      <c r="M20" s="119"/>
      <c r="N20" s="119"/>
      <c r="O20" s="123">
        <f t="shared" si="2"/>
        <v>0</v>
      </c>
    </row>
    <row r="21" spans="1:15" x14ac:dyDescent="0.25">
      <c r="A21" s="112" t="s">
        <v>138</v>
      </c>
      <c r="B21" s="13"/>
      <c r="C21" s="156">
        <v>5000000</v>
      </c>
      <c r="D21" s="119"/>
      <c r="E21" s="113">
        <v>10000000</v>
      </c>
      <c r="F21" s="119">
        <v>5000000</v>
      </c>
      <c r="G21" s="119"/>
      <c r="H21" s="119"/>
      <c r="I21" s="119"/>
      <c r="J21" s="119"/>
      <c r="K21" s="119"/>
      <c r="L21" s="119"/>
      <c r="M21" s="119"/>
      <c r="N21" s="119"/>
      <c r="O21" s="123">
        <f t="shared" si="2"/>
        <v>20000000</v>
      </c>
    </row>
    <row r="22" spans="1:15" x14ac:dyDescent="0.25">
      <c r="A22" s="112" t="s">
        <v>171</v>
      </c>
      <c r="B22" s="113"/>
      <c r="C22" s="156">
        <v>116670</v>
      </c>
      <c r="D22" s="156">
        <v>116670</v>
      </c>
      <c r="E22" s="113">
        <v>116670</v>
      </c>
      <c r="F22" s="119">
        <v>116670</v>
      </c>
      <c r="G22" s="119"/>
      <c r="H22" s="119"/>
      <c r="I22" s="119"/>
      <c r="J22" s="119"/>
      <c r="K22" s="119"/>
      <c r="L22" s="119"/>
      <c r="M22" s="119"/>
      <c r="N22" s="119"/>
      <c r="O22" s="124">
        <f t="shared" si="2"/>
        <v>466680</v>
      </c>
    </row>
    <row r="23" spans="1:15" x14ac:dyDescent="0.25">
      <c r="A23" s="112" t="s">
        <v>140</v>
      </c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23">
        <f t="shared" si="2"/>
        <v>0</v>
      </c>
    </row>
    <row r="24" spans="1:15" x14ac:dyDescent="0.25">
      <c r="A24" s="40" t="s">
        <v>98</v>
      </c>
      <c r="B24" s="114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23">
        <f t="shared" si="2"/>
        <v>0</v>
      </c>
    </row>
    <row r="25" spans="1:15" x14ac:dyDescent="0.25">
      <c r="A25" s="112" t="s">
        <v>141</v>
      </c>
      <c r="B25" s="114"/>
      <c r="C25" s="119"/>
      <c r="D25" s="119"/>
      <c r="E25" s="119"/>
      <c r="F25" s="119"/>
      <c r="G25" s="119"/>
      <c r="H25" s="119"/>
      <c r="I25" s="119"/>
      <c r="J25" s="119"/>
      <c r="K25" s="119"/>
      <c r="L25" s="119"/>
      <c r="M25" s="119"/>
      <c r="N25" s="119"/>
      <c r="O25" s="123">
        <f t="shared" si="2"/>
        <v>0</v>
      </c>
    </row>
    <row r="26" spans="1:15" x14ac:dyDescent="0.25">
      <c r="A26" s="112" t="s">
        <v>147</v>
      </c>
      <c r="B26" s="13"/>
      <c r="C26" s="119"/>
      <c r="D26" s="119"/>
      <c r="E26" s="113">
        <v>2189300</v>
      </c>
      <c r="F26" s="119"/>
      <c r="G26" s="119"/>
      <c r="H26" s="119"/>
      <c r="I26" s="119"/>
      <c r="J26" s="119"/>
      <c r="K26" s="119"/>
      <c r="L26" s="119"/>
      <c r="M26" s="119"/>
      <c r="N26" s="119"/>
      <c r="O26" s="123">
        <f t="shared" si="2"/>
        <v>2189300</v>
      </c>
    </row>
    <row r="27" spans="1:15" x14ac:dyDescent="0.25">
      <c r="A27" s="112" t="s">
        <v>142</v>
      </c>
      <c r="B27" s="113"/>
      <c r="C27" s="157">
        <v>3243437.82</v>
      </c>
      <c r="D27" s="157">
        <v>3243437.82</v>
      </c>
      <c r="E27" s="162">
        <v>3243437.82</v>
      </c>
      <c r="F27" s="129">
        <v>3243437.82</v>
      </c>
      <c r="G27" s="129"/>
      <c r="H27" s="129"/>
      <c r="I27" s="129"/>
      <c r="J27" s="129"/>
      <c r="K27" s="129"/>
      <c r="L27" s="129"/>
      <c r="M27" s="129"/>
      <c r="N27" s="129"/>
      <c r="O27" s="123">
        <f t="shared" si="2"/>
        <v>12973751.279999999</v>
      </c>
    </row>
    <row r="28" spans="1:15" x14ac:dyDescent="0.25">
      <c r="A28" s="60" t="s">
        <v>146</v>
      </c>
      <c r="B28" s="60"/>
      <c r="C28" s="125"/>
      <c r="D28" s="158">
        <f>1767000+1767000</f>
        <v>3534000</v>
      </c>
      <c r="E28" s="163">
        <v>1767000</v>
      </c>
      <c r="F28" s="125">
        <v>1767000</v>
      </c>
      <c r="G28" s="125"/>
      <c r="H28" s="125"/>
      <c r="I28" s="125"/>
      <c r="J28" s="125"/>
      <c r="K28" s="125"/>
      <c r="L28" s="125"/>
      <c r="M28" s="125"/>
      <c r="N28" s="125"/>
      <c r="O28" s="123">
        <f t="shared" si="2"/>
        <v>7068000</v>
      </c>
    </row>
    <row r="29" spans="1:15" x14ac:dyDescent="0.25">
      <c r="A29" s="40" t="s">
        <v>46</v>
      </c>
      <c r="B29" s="60"/>
      <c r="C29" s="125"/>
      <c r="D29" s="125"/>
      <c r="E29" s="125"/>
      <c r="F29" s="125"/>
      <c r="G29" s="125"/>
      <c r="H29" s="125"/>
      <c r="I29" s="125"/>
      <c r="J29" s="125"/>
      <c r="K29" s="125"/>
      <c r="L29" s="125"/>
      <c r="M29" s="125"/>
      <c r="N29" s="125"/>
      <c r="O29" s="123">
        <f t="shared" si="2"/>
        <v>0</v>
      </c>
    </row>
    <row r="30" spans="1:15" x14ac:dyDescent="0.25">
      <c r="A30" s="40" t="s">
        <v>167</v>
      </c>
      <c r="B30" s="60"/>
      <c r="C30" s="125"/>
      <c r="D30" s="125"/>
      <c r="E30" s="125"/>
      <c r="F30" s="125"/>
      <c r="G30" s="125"/>
      <c r="H30" s="125"/>
      <c r="I30" s="125"/>
      <c r="J30" s="125"/>
      <c r="K30" s="125"/>
      <c r="L30" s="125"/>
      <c r="M30" s="125"/>
      <c r="N30" s="125"/>
      <c r="O30" s="123">
        <f t="shared" si="2"/>
        <v>0</v>
      </c>
    </row>
    <row r="31" spans="1:15" x14ac:dyDescent="0.25">
      <c r="A31" s="60" t="s">
        <v>150</v>
      </c>
      <c r="B31" s="60"/>
      <c r="C31" s="60"/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123">
        <f t="shared" si="2"/>
        <v>0</v>
      </c>
    </row>
    <row r="32" spans="1:15" x14ac:dyDescent="0.25">
      <c r="A32" s="112" t="s">
        <v>169</v>
      </c>
      <c r="B32" s="33"/>
      <c r="C32" s="156">
        <f>4299000+32482000</f>
        <v>36781000</v>
      </c>
      <c r="D32" s="156">
        <f>1505000+48000</f>
        <v>1553000</v>
      </c>
      <c r="E32" s="113">
        <f>48000+1505000</f>
        <v>1553000</v>
      </c>
      <c r="F32" s="13">
        <f>6118000+534000</f>
        <v>6652000</v>
      </c>
      <c r="G32" s="13"/>
      <c r="H32" s="13"/>
      <c r="I32" s="13"/>
      <c r="J32" s="13"/>
      <c r="K32" s="13"/>
      <c r="L32" s="13"/>
      <c r="M32" s="13"/>
      <c r="N32" s="13"/>
      <c r="O32" s="123">
        <f t="shared" si="2"/>
        <v>46539000</v>
      </c>
    </row>
    <row r="33" spans="1:15" x14ac:dyDescent="0.25">
      <c r="A33" s="112" t="s">
        <v>175</v>
      </c>
      <c r="B33" s="33"/>
      <c r="C33" s="13"/>
      <c r="D33" s="156">
        <v>4346000</v>
      </c>
      <c r="E33" s="113">
        <v>336900</v>
      </c>
      <c r="F33" s="13">
        <v>4604000</v>
      </c>
      <c r="G33" s="13"/>
      <c r="H33" s="13"/>
      <c r="I33" s="13"/>
      <c r="J33" s="13"/>
      <c r="K33" s="13"/>
      <c r="L33" s="13"/>
      <c r="M33" s="13"/>
      <c r="N33" s="13"/>
      <c r="O33" s="123">
        <f t="shared" si="2"/>
        <v>9286900</v>
      </c>
    </row>
    <row r="34" spans="1:15" x14ac:dyDescent="0.25">
      <c r="A34" s="112" t="s">
        <v>152</v>
      </c>
      <c r="B34" s="115"/>
      <c r="C34" s="119"/>
      <c r="D34" s="156">
        <f>7364000+3283000+11310000+28451000</f>
        <v>50408000</v>
      </c>
      <c r="E34" s="119"/>
      <c r="F34" s="119"/>
      <c r="G34" s="119"/>
      <c r="H34" s="119"/>
      <c r="I34" s="119"/>
      <c r="J34" s="119"/>
      <c r="K34" s="119"/>
      <c r="L34" s="119"/>
      <c r="M34" s="119"/>
      <c r="N34" s="119"/>
      <c r="O34" s="123">
        <f t="shared" si="2"/>
        <v>50408000</v>
      </c>
    </row>
    <row r="35" spans="1:15" x14ac:dyDescent="0.25">
      <c r="A35" s="112" t="s">
        <v>170</v>
      </c>
      <c r="B35" s="115"/>
      <c r="C35" s="156">
        <f>9013000</f>
        <v>9013000</v>
      </c>
      <c r="D35" s="13"/>
      <c r="E35" s="113"/>
      <c r="F35" s="13">
        <f>17913000+1536000</f>
        <v>19449000</v>
      </c>
      <c r="G35" s="13"/>
      <c r="H35" s="13"/>
      <c r="I35" s="13"/>
      <c r="J35" s="13"/>
      <c r="K35" s="13"/>
      <c r="L35" s="13"/>
      <c r="M35" s="13"/>
      <c r="N35" s="13"/>
      <c r="O35" s="123">
        <f t="shared" si="2"/>
        <v>28462000</v>
      </c>
    </row>
    <row r="36" spans="1:15" x14ac:dyDescent="0.25">
      <c r="A36" s="116" t="s">
        <v>157</v>
      </c>
      <c r="B36" s="115"/>
      <c r="C36" s="119"/>
      <c r="D36" s="119"/>
      <c r="E36" s="113">
        <v>6991640</v>
      </c>
      <c r="F36" s="119"/>
      <c r="G36" s="119"/>
      <c r="H36" s="119"/>
      <c r="I36" s="119"/>
      <c r="J36" s="119"/>
      <c r="K36" s="119"/>
      <c r="L36" s="119"/>
      <c r="M36" s="119"/>
      <c r="N36" s="119"/>
      <c r="O36" s="123">
        <f t="shared" si="2"/>
        <v>6991640</v>
      </c>
    </row>
    <row r="37" spans="1:15" x14ac:dyDescent="0.25">
      <c r="A37" s="112" t="s">
        <v>151</v>
      </c>
      <c r="B37" s="13"/>
      <c r="C37" s="119"/>
      <c r="D37" s="119"/>
      <c r="E37" s="119"/>
      <c r="F37" s="119"/>
      <c r="G37" s="119"/>
      <c r="H37" s="119"/>
      <c r="I37" s="119"/>
      <c r="J37" s="119"/>
      <c r="K37" s="119"/>
      <c r="L37" s="119"/>
      <c r="M37" s="119"/>
      <c r="N37" s="119"/>
      <c r="O37" s="123">
        <f t="shared" si="2"/>
        <v>0</v>
      </c>
    </row>
    <row r="38" spans="1:15" x14ac:dyDescent="0.25">
      <c r="A38" s="112" t="s">
        <v>156</v>
      </c>
      <c r="B38" s="13"/>
      <c r="C38" s="119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23">
        <f t="shared" si="2"/>
        <v>0</v>
      </c>
    </row>
    <row r="39" spans="1:15" x14ac:dyDescent="0.25">
      <c r="A39" s="116" t="s">
        <v>168</v>
      </c>
      <c r="B39" s="33"/>
      <c r="C39" s="33"/>
      <c r="D39" s="33"/>
      <c r="E39" s="119"/>
      <c r="F39" s="119"/>
      <c r="G39" s="119"/>
      <c r="H39" s="119"/>
      <c r="I39" s="119"/>
      <c r="J39" s="119"/>
      <c r="K39" s="119"/>
      <c r="L39" s="119"/>
      <c r="M39" s="119"/>
      <c r="N39" s="119"/>
      <c r="O39" s="119">
        <f t="shared" si="2"/>
        <v>0</v>
      </c>
    </row>
    <row r="40" spans="1:15" x14ac:dyDescent="0.25">
      <c r="A40" s="116" t="s">
        <v>155</v>
      </c>
      <c r="B40" s="33"/>
      <c r="C40" s="33"/>
      <c r="D40" s="33"/>
      <c r="E40" s="113">
        <v>8082261</v>
      </c>
      <c r="F40" s="13"/>
      <c r="G40" s="33"/>
      <c r="H40" s="33"/>
      <c r="I40" s="33"/>
      <c r="J40" s="33"/>
      <c r="K40" s="33"/>
      <c r="L40" s="33"/>
      <c r="M40" s="33"/>
      <c r="N40" s="33"/>
      <c r="O40" s="123">
        <f t="shared" si="2"/>
        <v>8082261</v>
      </c>
    </row>
    <row r="41" spans="1:15" x14ac:dyDescent="0.25">
      <c r="A41" s="112" t="s">
        <v>143</v>
      </c>
      <c r="B41" s="33"/>
      <c r="C41" s="156">
        <f>1004823+14003+5494+68206+5494</f>
        <v>1098020</v>
      </c>
      <c r="D41" s="160">
        <f>424267+24643+3360+126340+3960</f>
        <v>582570</v>
      </c>
      <c r="E41" s="13">
        <f>1070488+126564+3136</f>
        <v>1200188</v>
      </c>
      <c r="F41" s="13"/>
      <c r="G41" s="13"/>
      <c r="H41" s="13"/>
      <c r="I41" s="13"/>
      <c r="J41" s="13"/>
      <c r="K41" s="13"/>
      <c r="L41" s="13"/>
      <c r="M41" s="13"/>
      <c r="N41" s="13"/>
      <c r="O41" s="123">
        <f t="shared" si="2"/>
        <v>2880778</v>
      </c>
    </row>
    <row r="42" spans="1:15" x14ac:dyDescent="0.25">
      <c r="A42" s="116" t="s">
        <v>154</v>
      </c>
      <c r="B42" s="33"/>
      <c r="C42" s="127"/>
      <c r="D42" s="127"/>
      <c r="E42" s="127"/>
      <c r="F42" s="119">
        <v>9314733</v>
      </c>
      <c r="G42" s="119"/>
      <c r="H42" s="127"/>
      <c r="I42" s="127"/>
      <c r="J42" s="127"/>
      <c r="K42" s="127"/>
      <c r="L42" s="127"/>
      <c r="M42" s="127"/>
      <c r="N42" s="127"/>
      <c r="O42" s="123">
        <f t="shared" si="2"/>
        <v>9314733</v>
      </c>
    </row>
    <row r="43" spans="1:15" x14ac:dyDescent="0.25">
      <c r="A43" s="112" t="s">
        <v>143</v>
      </c>
      <c r="B43" s="121"/>
      <c r="C43" s="121"/>
      <c r="D43" s="121"/>
      <c r="E43" s="121"/>
      <c r="F43" s="121"/>
      <c r="G43" s="121"/>
      <c r="H43" s="121"/>
      <c r="I43" s="121"/>
      <c r="J43" s="121"/>
      <c r="K43" s="121"/>
      <c r="L43" s="121"/>
      <c r="M43" s="121"/>
      <c r="N43" s="121"/>
      <c r="O43" s="117"/>
    </row>
    <row r="44" spans="1:15" x14ac:dyDescent="0.25">
      <c r="A44" s="112" t="s">
        <v>158</v>
      </c>
      <c r="B44" s="121"/>
      <c r="C44" s="121"/>
      <c r="D44" s="121"/>
      <c r="E44" s="121"/>
      <c r="F44" s="121"/>
      <c r="G44" s="121"/>
      <c r="H44" s="121"/>
      <c r="I44" s="121"/>
      <c r="J44" s="121"/>
      <c r="K44" s="121"/>
      <c r="L44" s="121"/>
      <c r="M44" s="121"/>
      <c r="N44" s="121"/>
      <c r="O44" s="117"/>
    </row>
    <row r="45" spans="1:15" x14ac:dyDescent="0.25">
      <c r="A45" s="112" t="s">
        <v>159</v>
      </c>
      <c r="B45" s="121"/>
      <c r="C45" s="126"/>
      <c r="D45" s="126"/>
      <c r="E45" s="126"/>
      <c r="F45" s="126"/>
      <c r="G45" s="126"/>
      <c r="H45" s="126"/>
      <c r="I45" s="126"/>
      <c r="J45" s="126"/>
      <c r="K45" s="126"/>
      <c r="L45" s="126"/>
      <c r="M45" s="126"/>
      <c r="N45" s="126"/>
      <c r="O45" s="126">
        <f>SUM(F45:N45)</f>
        <v>0</v>
      </c>
    </row>
    <row r="46" spans="1:15" x14ac:dyDescent="0.25">
      <c r="A46" s="112" t="s">
        <v>160</v>
      </c>
      <c r="B46" s="121"/>
      <c r="C46" s="155">
        <v>6932488.6699999999</v>
      </c>
      <c r="D46" s="155">
        <v>6932488.6699999999</v>
      </c>
      <c r="E46" s="126"/>
      <c r="F46" s="126"/>
      <c r="G46" s="126"/>
      <c r="H46" s="126"/>
      <c r="I46" s="126"/>
      <c r="J46" s="126"/>
      <c r="K46" s="126"/>
      <c r="L46" s="126"/>
      <c r="M46" s="126"/>
      <c r="N46" s="126"/>
      <c r="O46" s="126">
        <f>SUM(C46:N46)</f>
        <v>13864977.34</v>
      </c>
    </row>
    <row r="47" spans="1:15" x14ac:dyDescent="0.25">
      <c r="A47" s="112" t="s">
        <v>161</v>
      </c>
      <c r="B47" s="121"/>
      <c r="C47" s="126"/>
      <c r="D47" s="126"/>
      <c r="E47" s="164">
        <v>11548688.52</v>
      </c>
      <c r="F47" s="130"/>
      <c r="G47" s="130"/>
      <c r="H47" s="130"/>
      <c r="I47" s="126"/>
      <c r="J47" s="126"/>
      <c r="K47" s="126"/>
      <c r="L47" s="126"/>
      <c r="M47" s="126"/>
      <c r="N47" s="126"/>
      <c r="O47" s="126">
        <f>SUM(E47:N47)</f>
        <v>11548688.52</v>
      </c>
    </row>
    <row r="48" spans="1:15" x14ac:dyDescent="0.25">
      <c r="A48" s="112" t="s">
        <v>162</v>
      </c>
      <c r="B48" s="121"/>
      <c r="C48" s="126"/>
      <c r="D48" s="126"/>
      <c r="E48" s="126"/>
      <c r="F48" s="126"/>
      <c r="G48" s="126"/>
      <c r="H48" s="126"/>
      <c r="I48" s="126"/>
      <c r="J48" s="126"/>
      <c r="K48" s="126"/>
      <c r="L48" s="126"/>
      <c r="M48" s="126"/>
      <c r="N48" s="126"/>
      <c r="O48" s="126">
        <f>SUM(C48:N48)</f>
        <v>0</v>
      </c>
    </row>
    <row r="49" spans="1:15" x14ac:dyDescent="0.25">
      <c r="A49" s="112" t="s">
        <v>163</v>
      </c>
      <c r="B49" s="121"/>
      <c r="C49" s="155">
        <f>100000000+79351448.5</f>
        <v>179351448.5</v>
      </c>
      <c r="D49" s="126"/>
      <c r="E49" s="161">
        <f>100000000+76163779</f>
        <v>176163779</v>
      </c>
      <c r="F49" s="126"/>
      <c r="G49" s="126"/>
      <c r="H49" s="126"/>
      <c r="I49" s="126"/>
      <c r="J49" s="126"/>
      <c r="K49" s="126"/>
      <c r="L49" s="126"/>
      <c r="M49" s="126"/>
      <c r="N49" s="126"/>
      <c r="O49" s="126">
        <f>SUM(C49:N49)</f>
        <v>355515227.5</v>
      </c>
    </row>
    <row r="50" spans="1:15" x14ac:dyDescent="0.25">
      <c r="A50" s="112" t="s">
        <v>164</v>
      </c>
      <c r="B50" s="121"/>
      <c r="C50" s="121"/>
      <c r="D50" s="121"/>
      <c r="E50" s="121"/>
      <c r="F50" s="121"/>
      <c r="G50" s="121"/>
      <c r="H50" s="121"/>
      <c r="I50" s="121"/>
      <c r="J50" s="121"/>
      <c r="K50" s="121"/>
      <c r="L50" s="121"/>
      <c r="M50" s="121"/>
      <c r="N50" s="121"/>
      <c r="O50" s="117">
        <f>SUM(C50:N50)</f>
        <v>0</v>
      </c>
    </row>
    <row r="51" spans="1:15" x14ac:dyDescent="0.25">
      <c r="A51" s="112" t="s">
        <v>166</v>
      </c>
      <c r="B51" s="121"/>
      <c r="C51" s="126"/>
      <c r="D51" s="126"/>
      <c r="E51" s="126"/>
      <c r="F51" s="126"/>
      <c r="G51" s="126"/>
      <c r="H51" s="126"/>
      <c r="I51" s="126"/>
      <c r="J51" s="126"/>
      <c r="K51" s="126"/>
      <c r="L51" s="126"/>
      <c r="M51" s="126"/>
      <c r="N51" s="126"/>
      <c r="O51" s="126">
        <f>SUM(C51:N51)</f>
        <v>0</v>
      </c>
    </row>
    <row r="52" spans="1:15" x14ac:dyDescent="0.25">
      <c r="A52" s="112" t="s">
        <v>180</v>
      </c>
      <c r="B52" s="117"/>
      <c r="C52" s="33"/>
      <c r="D52" s="156">
        <v>293000</v>
      </c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109"/>
    </row>
    <row r="53" spans="1:15" x14ac:dyDescent="0.25">
      <c r="A53" s="110" t="s">
        <v>145</v>
      </c>
      <c r="B53" s="33"/>
      <c r="C53" s="109">
        <f>SUM(C15:C52)</f>
        <v>252216064.99000001</v>
      </c>
      <c r="D53" s="109">
        <f>SUM(D15:D52)</f>
        <v>106494866.48999999</v>
      </c>
      <c r="E53" s="167">
        <f>SUM(E15:E52)</f>
        <v>261723364.33999997</v>
      </c>
      <c r="F53" s="109">
        <f>SUM(F15:F52)</f>
        <v>61346040.82</v>
      </c>
      <c r="G53" s="33"/>
      <c r="H53" s="33"/>
      <c r="I53" s="33"/>
      <c r="J53" s="33"/>
      <c r="K53" s="33"/>
      <c r="L53" s="33"/>
      <c r="M53" s="33"/>
      <c r="N53" s="33"/>
      <c r="O53" s="109">
        <f>SUM(O15:O52)</f>
        <v>681487336.63999987</v>
      </c>
    </row>
    <row r="54" spans="1:15" x14ac:dyDescent="0.25">
      <c r="A54" s="33" t="s">
        <v>182</v>
      </c>
      <c r="B54" s="33"/>
      <c r="C54" s="149">
        <f>C12-C53</f>
        <v>931083814.8900001</v>
      </c>
      <c r="D54" s="149">
        <f>D12-D53</f>
        <v>681196584.9000001</v>
      </c>
      <c r="E54" s="149">
        <f t="shared" ref="E54:N54" si="3">E12-E53</f>
        <v>572985153.56000018</v>
      </c>
      <c r="F54" s="132">
        <f t="shared" si="3"/>
        <v>511642912.74000019</v>
      </c>
      <c r="G54" s="132">
        <f t="shared" si="3"/>
        <v>0</v>
      </c>
      <c r="H54" s="132">
        <f t="shared" si="3"/>
        <v>0</v>
      </c>
      <c r="I54" s="132">
        <f t="shared" si="3"/>
        <v>0</v>
      </c>
      <c r="J54" s="132">
        <f t="shared" si="3"/>
        <v>0</v>
      </c>
      <c r="K54" s="132">
        <f t="shared" si="3"/>
        <v>0</v>
      </c>
      <c r="L54" s="132">
        <f t="shared" si="3"/>
        <v>0</v>
      </c>
      <c r="M54" s="132">
        <f t="shared" si="3"/>
        <v>0</v>
      </c>
      <c r="N54" s="132">
        <f t="shared" si="3"/>
        <v>0</v>
      </c>
      <c r="O54" s="132"/>
    </row>
    <row r="55" spans="1:15" x14ac:dyDescent="0.25">
      <c r="A55" s="33"/>
      <c r="B55" s="33"/>
      <c r="C55" s="150">
        <f>C54-B57</f>
        <v>587643421.3900001</v>
      </c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33"/>
    </row>
    <row r="56" spans="1:15" x14ac:dyDescent="0.25">
      <c r="A56" s="33" t="s">
        <v>186</v>
      </c>
      <c r="B56" s="118"/>
      <c r="C56" s="33"/>
      <c r="D56" s="33"/>
      <c r="E56" s="165"/>
      <c r="F56" s="33"/>
      <c r="G56" s="33"/>
      <c r="H56" s="33"/>
      <c r="I56" s="33"/>
      <c r="J56" s="33"/>
      <c r="K56" s="33"/>
      <c r="L56" s="33"/>
      <c r="M56" s="33"/>
      <c r="N56" s="33"/>
      <c r="O56" s="33"/>
    </row>
    <row r="57" spans="1:15" x14ac:dyDescent="0.25">
      <c r="A57" s="166" t="s">
        <v>184</v>
      </c>
      <c r="B57" s="149">
        <v>343440393.5</v>
      </c>
      <c r="C57" s="149"/>
      <c r="E57">
        <v>116438.52</v>
      </c>
    </row>
    <row r="58" spans="1:15" x14ac:dyDescent="0.25">
      <c r="A58" s="153" t="s">
        <v>179</v>
      </c>
      <c r="B58">
        <v>105136.36</v>
      </c>
      <c r="C58" s="154">
        <f>B57+B58</f>
        <v>343545529.86000001</v>
      </c>
      <c r="D58" s="105">
        <f>B57+B58</f>
        <v>343545529.86000001</v>
      </c>
      <c r="E58" s="105">
        <f>E57+D58</f>
        <v>343661968.38</v>
      </c>
    </row>
    <row r="59" spans="1:15" x14ac:dyDescent="0.25">
      <c r="C59" s="105"/>
      <c r="D59" s="148"/>
    </row>
    <row r="60" spans="1:15" x14ac:dyDescent="0.25">
      <c r="A60" t="s">
        <v>181</v>
      </c>
      <c r="C60" s="152">
        <f>C55+C58</f>
        <v>931188951.25000012</v>
      </c>
      <c r="D60" s="105">
        <f>D54+C58</f>
        <v>1024742114.7600001</v>
      </c>
      <c r="E60" s="105">
        <f>E54+D58</f>
        <v>916530683.4200002</v>
      </c>
    </row>
    <row r="62" spans="1:15" x14ac:dyDescent="0.25">
      <c r="D62" s="105">
        <f>D54-681196584.9</f>
        <v>0</v>
      </c>
      <c r="F62" s="105">
        <f>E53-261720228.34</f>
        <v>3135.9999999701977</v>
      </c>
    </row>
  </sheetData>
  <mergeCells count="1">
    <mergeCell ref="B1:O1"/>
  </mergeCells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67"/>
  <sheetViews>
    <sheetView tabSelected="1" topLeftCell="B16" workbookViewId="0"/>
  </sheetViews>
  <sheetFormatPr baseColWidth="10" defaultRowHeight="15" x14ac:dyDescent="0.25"/>
  <cols>
    <col min="1" max="1" width="45.5703125" customWidth="1"/>
    <col min="2" max="2" width="15.140625" bestFit="1" customWidth="1"/>
    <col min="3" max="6" width="16.85546875" bestFit="1" customWidth="1"/>
    <col min="7" max="7" width="17.5703125" customWidth="1"/>
    <col min="8" max="8" width="15.140625" bestFit="1" customWidth="1"/>
    <col min="9" max="10" width="16.85546875" bestFit="1" customWidth="1"/>
    <col min="11" max="11" width="15.140625" bestFit="1" customWidth="1"/>
    <col min="12" max="12" width="17.28515625" bestFit="1" customWidth="1"/>
    <col min="13" max="14" width="16.7109375" bestFit="1" customWidth="1"/>
    <col min="15" max="15" width="15.42578125" customWidth="1"/>
  </cols>
  <sheetData>
    <row r="1" spans="1:15" x14ac:dyDescent="0.25">
      <c r="A1" s="33"/>
      <c r="B1" s="202" t="s">
        <v>174</v>
      </c>
      <c r="C1" s="203"/>
      <c r="D1" s="203"/>
      <c r="E1" s="203"/>
      <c r="F1" s="203"/>
      <c r="G1" s="203"/>
      <c r="H1" s="203"/>
      <c r="I1" s="203"/>
      <c r="J1" s="203"/>
      <c r="K1" s="203"/>
      <c r="L1" s="203"/>
      <c r="M1" s="203"/>
      <c r="N1" s="203"/>
      <c r="O1" s="204"/>
    </row>
    <row r="2" spans="1:15" x14ac:dyDescent="0.25">
      <c r="A2" s="2" t="s">
        <v>15</v>
      </c>
      <c r="B2" s="107" t="s">
        <v>121</v>
      </c>
      <c r="C2" s="107" t="s">
        <v>191</v>
      </c>
      <c r="D2" s="107" t="s">
        <v>2</v>
      </c>
      <c r="E2" s="107" t="s">
        <v>3</v>
      </c>
      <c r="F2" s="107" t="s">
        <v>4</v>
      </c>
      <c r="G2" s="107" t="s">
        <v>5</v>
      </c>
      <c r="H2" s="107" t="s">
        <v>6</v>
      </c>
      <c r="I2" s="107" t="s">
        <v>192</v>
      </c>
      <c r="J2" s="107" t="s">
        <v>8</v>
      </c>
      <c r="K2" s="107" t="s">
        <v>9</v>
      </c>
      <c r="L2" s="107" t="s">
        <v>10</v>
      </c>
      <c r="M2" s="107" t="s">
        <v>193</v>
      </c>
      <c r="N2" s="107" t="s">
        <v>12</v>
      </c>
      <c r="O2" s="107" t="s">
        <v>13</v>
      </c>
    </row>
    <row r="3" spans="1:15" x14ac:dyDescent="0.25">
      <c r="A3" s="2" t="s">
        <v>132</v>
      </c>
      <c r="B3" s="13"/>
      <c r="C3" s="128">
        <v>743735363.38</v>
      </c>
      <c r="D3" s="151">
        <f>C55</f>
        <v>587643421.38999999</v>
      </c>
      <c r="E3" s="151">
        <f>D55</f>
        <v>681196584.89999998</v>
      </c>
      <c r="F3" s="151">
        <f>E55</f>
        <v>572985153.55999994</v>
      </c>
      <c r="G3" s="151">
        <f>F55</f>
        <v>448415986.21999997</v>
      </c>
      <c r="H3" s="151">
        <f t="shared" ref="H3:L3" si="0">G55</f>
        <v>463124648.88000005</v>
      </c>
      <c r="I3" s="151">
        <f t="shared" si="0"/>
        <v>380080587.54000008</v>
      </c>
      <c r="J3" s="151">
        <f t="shared" si="0"/>
        <v>294514977.20000011</v>
      </c>
      <c r="K3" s="151">
        <f t="shared" si="0"/>
        <v>186431383.86000013</v>
      </c>
      <c r="L3" s="151">
        <f t="shared" si="0"/>
        <v>130020659.04000014</v>
      </c>
      <c r="M3" s="185">
        <f>L57</f>
        <v>144501551.72000015</v>
      </c>
      <c r="N3" s="151">
        <f>M55</f>
        <v>106831049.90000015</v>
      </c>
      <c r="O3" s="109"/>
    </row>
    <row r="4" spans="1:15" x14ac:dyDescent="0.25">
      <c r="A4" s="33" t="s">
        <v>115</v>
      </c>
      <c r="B4" s="13"/>
      <c r="C4" s="156">
        <v>53039309</v>
      </c>
      <c r="D4" s="13"/>
      <c r="E4" s="162">
        <f>32339715+40813502+80520</f>
        <v>73233737</v>
      </c>
      <c r="F4" s="13"/>
      <c r="G4" s="113">
        <f>21844085+22136062+24755717+30203926+1473801</f>
        <v>100413591</v>
      </c>
      <c r="H4" s="113">
        <v>68278</v>
      </c>
      <c r="I4" s="113">
        <f>348051+691377</f>
        <v>1039428</v>
      </c>
      <c r="J4" s="13"/>
      <c r="K4" s="113">
        <f>358911</f>
        <v>358911</v>
      </c>
      <c r="L4" s="113">
        <f>533942</f>
        <v>533942</v>
      </c>
      <c r="M4" s="13">
        <f>6438002+237975</f>
        <v>6675977</v>
      </c>
      <c r="N4" s="13">
        <v>27352670</v>
      </c>
      <c r="O4" s="109">
        <f t="shared" ref="O4:O7" si="1">SUM(C4:N4)</f>
        <v>262715843</v>
      </c>
    </row>
    <row r="5" spans="1:15" x14ac:dyDescent="0.25">
      <c r="A5" s="33" t="s">
        <v>116</v>
      </c>
      <c r="B5" s="13"/>
      <c r="C5" s="13"/>
      <c r="D5" s="13"/>
      <c r="E5" s="13"/>
      <c r="F5" s="13"/>
      <c r="G5" s="13"/>
      <c r="H5" s="13"/>
      <c r="I5" s="13"/>
      <c r="J5" s="13">
        <v>1021665</v>
      </c>
      <c r="K5" s="13"/>
      <c r="L5" s="13"/>
      <c r="M5" s="13"/>
      <c r="N5" s="13"/>
      <c r="O5" s="109">
        <f t="shared" si="1"/>
        <v>1021665</v>
      </c>
    </row>
    <row r="6" spans="1:15" x14ac:dyDescent="0.25">
      <c r="A6" s="33" t="s">
        <v>117</v>
      </c>
      <c r="B6" s="13"/>
      <c r="C6" s="157">
        <f>78588</f>
        <v>78588</v>
      </c>
      <c r="D6" s="156">
        <f>48030</f>
        <v>48030</v>
      </c>
      <c r="E6" s="113">
        <f>44856</f>
        <v>44856</v>
      </c>
      <c r="F6" s="160">
        <v>48060</v>
      </c>
      <c r="G6" s="113">
        <v>48060</v>
      </c>
      <c r="H6" s="113">
        <v>48060</v>
      </c>
      <c r="I6" s="13">
        <v>47430</v>
      </c>
      <c r="J6" s="13">
        <v>49011</v>
      </c>
      <c r="K6" s="113">
        <v>49011</v>
      </c>
      <c r="L6" s="13">
        <v>20540</v>
      </c>
      <c r="M6" s="13">
        <v>2740</v>
      </c>
      <c r="N6" s="13">
        <v>3500</v>
      </c>
      <c r="O6" s="109">
        <f t="shared" si="1"/>
        <v>487886</v>
      </c>
    </row>
    <row r="7" spans="1:15" x14ac:dyDescent="0.25">
      <c r="A7" s="33" t="s">
        <v>153</v>
      </c>
      <c r="B7" s="13"/>
      <c r="C7" s="13"/>
      <c r="D7" s="13"/>
      <c r="E7" s="13"/>
      <c r="F7" s="13"/>
      <c r="G7" s="113">
        <v>31683900</v>
      </c>
      <c r="H7" s="13"/>
      <c r="I7" s="13"/>
      <c r="J7" s="13"/>
      <c r="K7" s="13"/>
      <c r="L7" s="13"/>
      <c r="M7" s="13"/>
      <c r="N7" s="13"/>
      <c r="O7" s="109">
        <f t="shared" si="1"/>
        <v>31683900</v>
      </c>
    </row>
    <row r="8" spans="1:15" x14ac:dyDescent="0.25">
      <c r="A8" s="33" t="s">
        <v>165</v>
      </c>
      <c r="B8" s="13"/>
      <c r="C8" s="156">
        <v>40000000</v>
      </c>
      <c r="D8" s="156">
        <f>40000000+40000000+40000000+40000000+40000000</f>
        <v>200000000</v>
      </c>
      <c r="E8" s="113">
        <f>40000000+40000000</f>
        <v>80000000</v>
      </c>
      <c r="F8" s="13"/>
      <c r="G8" s="13"/>
      <c r="H8" s="13"/>
      <c r="I8" s="13"/>
      <c r="J8" s="13"/>
      <c r="K8" s="13"/>
      <c r="L8" s="113">
        <f>40644000+40644000</f>
        <v>81288000</v>
      </c>
      <c r="M8" s="13">
        <v>40644000</v>
      </c>
      <c r="N8" s="13">
        <v>40644000</v>
      </c>
      <c r="O8" s="131">
        <f>SUM(C8:N8)</f>
        <v>482576000</v>
      </c>
    </row>
    <row r="9" spans="1:15" x14ac:dyDescent="0.25">
      <c r="A9" s="33" t="s">
        <v>196</v>
      </c>
      <c r="B9" s="13"/>
      <c r="C9" s="13"/>
      <c r="D9" s="13"/>
      <c r="E9" s="13"/>
      <c r="F9" s="160">
        <v>3800</v>
      </c>
      <c r="G9" s="13"/>
      <c r="H9" s="13"/>
      <c r="I9" s="13"/>
      <c r="J9" s="13"/>
      <c r="K9" s="13"/>
      <c r="L9" s="13"/>
      <c r="M9" s="13"/>
      <c r="N9" s="13">
        <v>76689900</v>
      </c>
      <c r="O9" s="109">
        <f>SUM(C9:N9)</f>
        <v>76693700</v>
      </c>
    </row>
    <row r="10" spans="1:15" x14ac:dyDescent="0.25">
      <c r="A10" s="33" t="s">
        <v>189</v>
      </c>
      <c r="B10" s="13"/>
      <c r="C10" s="13"/>
      <c r="D10" s="13"/>
      <c r="E10" s="13"/>
      <c r="F10" s="160"/>
      <c r="G10" s="13"/>
      <c r="H10" s="13"/>
      <c r="I10" s="13"/>
      <c r="J10" s="13">
        <f>7000+3500</f>
        <v>10500</v>
      </c>
      <c r="K10" s="13"/>
      <c r="L10" s="13"/>
      <c r="M10" s="13">
        <v>3500</v>
      </c>
      <c r="N10" s="13"/>
      <c r="O10" s="109"/>
    </row>
    <row r="11" spans="1:15" x14ac:dyDescent="0.25">
      <c r="A11" s="33" t="s">
        <v>172</v>
      </c>
      <c r="B11" s="13"/>
      <c r="C11" s="156">
        <f>1123772+116670</f>
        <v>1240442</v>
      </c>
      <c r="D11" s="13"/>
      <c r="E11" s="113">
        <f>116670+116670</f>
        <v>233340</v>
      </c>
      <c r="F11" s="160">
        <v>116670</v>
      </c>
      <c r="G11" s="13"/>
      <c r="H11" s="13"/>
      <c r="I11" s="113">
        <v>233340</v>
      </c>
      <c r="J11" s="13"/>
      <c r="K11" s="113">
        <v>233340</v>
      </c>
      <c r="L11" s="113">
        <v>233690</v>
      </c>
      <c r="M11" s="13"/>
      <c r="N11" s="13"/>
      <c r="O11" s="109">
        <f>SUM(C11:N11)</f>
        <v>2290822</v>
      </c>
    </row>
    <row r="12" spans="1:15" x14ac:dyDescent="0.25">
      <c r="A12" s="33" t="s">
        <v>173</v>
      </c>
      <c r="B12" s="13"/>
      <c r="C12" s="156">
        <f>1449191+316593</f>
        <v>1765784</v>
      </c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09">
        <f>SUM(C12:N12)</f>
        <v>1765784</v>
      </c>
    </row>
    <row r="13" spans="1:15" x14ac:dyDescent="0.25">
      <c r="A13" s="110" t="s">
        <v>133</v>
      </c>
      <c r="B13" s="111"/>
      <c r="C13" s="111">
        <f>SUM(C3:C12)</f>
        <v>839859486.38</v>
      </c>
      <c r="D13" s="111">
        <f>SUM(D3:D12)</f>
        <v>787691451.38999999</v>
      </c>
      <c r="E13" s="159">
        <f t="shared" ref="E13:N13" si="2">SUM(E3:E12)</f>
        <v>834708517.89999998</v>
      </c>
      <c r="F13" s="111">
        <f t="shared" si="2"/>
        <v>573153683.55999994</v>
      </c>
      <c r="G13" s="111">
        <f t="shared" si="2"/>
        <v>580561537.22000003</v>
      </c>
      <c r="H13" s="159">
        <f t="shared" si="2"/>
        <v>463240986.88000005</v>
      </c>
      <c r="I13" s="159">
        <f t="shared" si="2"/>
        <v>381400785.54000008</v>
      </c>
      <c r="J13" s="159">
        <f t="shared" si="2"/>
        <v>295596153.20000011</v>
      </c>
      <c r="K13" s="111">
        <f t="shared" si="2"/>
        <v>187072645.86000013</v>
      </c>
      <c r="L13" s="111">
        <f t="shared" si="2"/>
        <v>212096831.04000014</v>
      </c>
      <c r="M13" s="111">
        <f t="shared" si="2"/>
        <v>191827768.72000015</v>
      </c>
      <c r="N13" s="159">
        <f t="shared" si="2"/>
        <v>251521119.90000015</v>
      </c>
      <c r="O13" s="111">
        <f>SUM(O3:O12)</f>
        <v>859235600</v>
      </c>
    </row>
    <row r="14" spans="1:15" x14ac:dyDescent="0.25">
      <c r="A14" s="33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33"/>
    </row>
    <row r="15" spans="1:15" x14ac:dyDescent="0.25">
      <c r="A15" s="2" t="s">
        <v>134</v>
      </c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33"/>
    </row>
    <row r="16" spans="1:15" x14ac:dyDescent="0.25">
      <c r="A16" s="112" t="s">
        <v>135</v>
      </c>
      <c r="B16" s="113"/>
      <c r="C16" s="156">
        <v>10680000</v>
      </c>
      <c r="D16" s="156">
        <f>5477200+2536000+2536200+2536200+1440000+1440000+2536200+2536200+2536200+10680000</f>
        <v>34254200</v>
      </c>
      <c r="E16" s="113">
        <f>1440000+1440000+2536200+5477200+2536200+2536200+1796300+12816000+1440000+1440000+2536200+2536200</f>
        <v>38530500</v>
      </c>
      <c r="F16" s="168">
        <f>5477200+2536200+1796300+1440000+2536200+2536400+11748000+1440000+2536200</f>
        <v>32046500</v>
      </c>
      <c r="G16" s="113">
        <f>5477200+2536200+1797300+1440000+2536200+2536200+11748000+1440000+2536200</f>
        <v>32047300</v>
      </c>
      <c r="H16" s="113">
        <f>5477200+2536200+2750000+1797300+2536200+11748000+1440000+1440000+2536200+2536200</f>
        <v>34797300</v>
      </c>
      <c r="I16" s="113">
        <f>5477200+1375000+1795966+2536200+1440000+2536200+2536200+13880000+1440000+2536200</f>
        <v>35552966</v>
      </c>
      <c r="J16" s="113">
        <f>5477200+2536200+1440000+1796400+2536200+13880000+1440000+2536200+2536200</f>
        <v>34178400</v>
      </c>
      <c r="K16" s="113">
        <f>5477200+2536200+1375000+1796400+1440000+2536200+13880000+1309000+1440000+2536200+2536200</f>
        <v>36862400</v>
      </c>
      <c r="L16" s="113">
        <f>5477200+2536200+1375000+1797300+13880000+1440000+1440000+2536200+2536200</f>
        <v>33018100</v>
      </c>
      <c r="M16" s="119">
        <f>5477200+2536200+1375000+2536200+1440000+1440000+2536200+13880000+2536200+2536200+2515367</f>
        <v>38808567</v>
      </c>
      <c r="N16" s="160">
        <f>5477200+2536200+1375000+2536200+2536200+13880000+1440000+1796633+2536200+1440000+2536200+5477200</f>
        <v>43567033</v>
      </c>
      <c r="O16" s="124">
        <f>SUM(C16:N16)</f>
        <v>404343266</v>
      </c>
    </row>
    <row r="17" spans="1:15" x14ac:dyDescent="0.25">
      <c r="A17" s="112" t="s">
        <v>187</v>
      </c>
      <c r="B17" s="113"/>
      <c r="C17" s="119"/>
      <c r="D17" s="156">
        <v>581500</v>
      </c>
      <c r="E17" s="119"/>
      <c r="F17" s="168">
        <f>739500</f>
        <v>739500</v>
      </c>
      <c r="G17" s="113">
        <v>581500</v>
      </c>
      <c r="H17" s="119"/>
      <c r="I17" s="113">
        <v>872300</v>
      </c>
      <c r="J17" s="119"/>
      <c r="K17" s="113">
        <f>580200+581500+858700</f>
        <v>2020400</v>
      </c>
      <c r="L17" s="119"/>
      <c r="M17" s="119">
        <v>1138100</v>
      </c>
      <c r="N17" s="160">
        <f>435767+290800</f>
        <v>726567</v>
      </c>
      <c r="O17" s="124">
        <f>SUM(C17:N17)</f>
        <v>6659867</v>
      </c>
    </row>
    <row r="18" spans="1:15" x14ac:dyDescent="0.25">
      <c r="A18" s="112" t="s">
        <v>149</v>
      </c>
      <c r="B18" s="13"/>
      <c r="C18" s="119"/>
      <c r="D18" s="119"/>
      <c r="E18" s="119"/>
      <c r="F18" s="168">
        <v>11415000</v>
      </c>
      <c r="G18" s="119"/>
      <c r="H18" s="119"/>
      <c r="I18" s="119"/>
      <c r="J18" s="119"/>
      <c r="K18" s="119"/>
      <c r="L18" s="119"/>
      <c r="M18" s="119">
        <v>11415000</v>
      </c>
      <c r="N18" s="119"/>
      <c r="O18" s="124">
        <f>SUM(C18:N18)</f>
        <v>22830000</v>
      </c>
    </row>
    <row r="19" spans="1:15" x14ac:dyDescent="0.25">
      <c r="A19" s="112" t="s">
        <v>137</v>
      </c>
      <c r="B19" s="13"/>
      <c r="C19" s="119"/>
      <c r="D19" s="156">
        <v>650000</v>
      </c>
      <c r="E19" s="119"/>
      <c r="F19" s="168">
        <v>650000</v>
      </c>
      <c r="G19" s="119"/>
      <c r="H19" s="113">
        <v>650000</v>
      </c>
      <c r="I19" s="113">
        <v>650000</v>
      </c>
      <c r="J19" s="119"/>
      <c r="K19" s="113">
        <v>650000</v>
      </c>
      <c r="L19" s="113">
        <v>650000</v>
      </c>
      <c r="M19" s="119">
        <v>650000</v>
      </c>
      <c r="N19" s="160">
        <v>250000</v>
      </c>
      <c r="O19" s="123">
        <f t="shared" ref="O19:O43" si="3">SUM(C19:N19)</f>
        <v>4800000</v>
      </c>
    </row>
    <row r="20" spans="1:15" x14ac:dyDescent="0.25">
      <c r="A20" s="40" t="s">
        <v>40</v>
      </c>
      <c r="B20" s="13"/>
      <c r="C20" s="119"/>
      <c r="D20" s="119"/>
      <c r="E20" s="119"/>
      <c r="F20" s="119"/>
      <c r="G20" s="119"/>
      <c r="H20" s="119"/>
      <c r="I20" s="119"/>
      <c r="J20" s="119"/>
      <c r="K20" s="113">
        <v>2492200</v>
      </c>
      <c r="L20" s="119"/>
      <c r="M20" s="119">
        <v>1036200</v>
      </c>
      <c r="N20" s="119"/>
      <c r="O20" s="124">
        <f t="shared" si="3"/>
        <v>3528400</v>
      </c>
    </row>
    <row r="21" spans="1:15" x14ac:dyDescent="0.25">
      <c r="A21" s="112" t="s">
        <v>139</v>
      </c>
      <c r="B21" s="113"/>
      <c r="C21" s="119"/>
      <c r="D21" s="119"/>
      <c r="E21" s="119"/>
      <c r="F21" s="119"/>
      <c r="G21" s="119"/>
      <c r="H21" s="119"/>
      <c r="I21" s="119"/>
      <c r="J21" s="119"/>
      <c r="K21" s="119"/>
      <c r="L21" s="119"/>
      <c r="M21" s="119"/>
      <c r="N21" s="119"/>
      <c r="O21" s="123">
        <f t="shared" si="3"/>
        <v>0</v>
      </c>
    </row>
    <row r="22" spans="1:15" x14ac:dyDescent="0.25">
      <c r="A22" s="112" t="s">
        <v>138</v>
      </c>
      <c r="B22" s="13"/>
      <c r="C22" s="156">
        <v>5000000</v>
      </c>
      <c r="D22" s="119"/>
      <c r="E22" s="113">
        <v>10000000</v>
      </c>
      <c r="F22" s="168">
        <v>5000000</v>
      </c>
      <c r="G22" s="113">
        <v>5000000</v>
      </c>
      <c r="H22" s="113">
        <v>5000000</v>
      </c>
      <c r="I22" s="113">
        <v>5000000</v>
      </c>
      <c r="J22" s="113">
        <v>5000000</v>
      </c>
      <c r="K22" s="113">
        <v>5000000</v>
      </c>
      <c r="L22" s="113">
        <v>5000000</v>
      </c>
      <c r="M22" s="119">
        <v>5000000</v>
      </c>
      <c r="N22" s="160">
        <v>5000000</v>
      </c>
      <c r="O22" s="123">
        <f t="shared" si="3"/>
        <v>60000000</v>
      </c>
    </row>
    <row r="23" spans="1:15" x14ac:dyDescent="0.25">
      <c r="A23" s="112" t="s">
        <v>171</v>
      </c>
      <c r="B23" s="113"/>
      <c r="C23" s="156">
        <v>116670</v>
      </c>
      <c r="D23" s="156">
        <v>116670</v>
      </c>
      <c r="E23" s="113">
        <v>116670</v>
      </c>
      <c r="F23" s="168">
        <v>116670</v>
      </c>
      <c r="G23" s="113">
        <v>116670</v>
      </c>
      <c r="H23" s="113">
        <v>116670</v>
      </c>
      <c r="I23" s="113">
        <f>116670+30670</f>
        <v>147340</v>
      </c>
      <c r="J23" s="113">
        <v>116670</v>
      </c>
      <c r="K23" s="113">
        <f>31190+21900+117020</f>
        <v>170110</v>
      </c>
      <c r="L23" s="113">
        <v>116670</v>
      </c>
      <c r="M23" s="119">
        <f>19010+30960+116670</f>
        <v>166640</v>
      </c>
      <c r="N23" s="160">
        <f>9560+15730+117108</f>
        <v>142398</v>
      </c>
      <c r="O23" s="124">
        <f t="shared" si="3"/>
        <v>1559848</v>
      </c>
    </row>
    <row r="24" spans="1:15" x14ac:dyDescent="0.25">
      <c r="A24" s="112" t="s">
        <v>140</v>
      </c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>
        <v>9382450</v>
      </c>
      <c r="N24" s="160">
        <v>392000</v>
      </c>
      <c r="O24" s="123">
        <f t="shared" si="3"/>
        <v>9774450</v>
      </c>
    </row>
    <row r="25" spans="1:15" x14ac:dyDescent="0.25">
      <c r="A25" s="40" t="s">
        <v>98</v>
      </c>
      <c r="B25" s="114"/>
      <c r="C25" s="13"/>
      <c r="D25" s="13"/>
      <c r="E25" s="13"/>
      <c r="F25" s="13"/>
      <c r="G25" s="13"/>
      <c r="H25" s="13"/>
      <c r="I25" s="113">
        <v>574201</v>
      </c>
      <c r="J25" s="113">
        <v>239000</v>
      </c>
      <c r="K25" s="13"/>
      <c r="L25" s="13"/>
      <c r="M25" s="13">
        <v>1268200</v>
      </c>
      <c r="N25" s="13"/>
      <c r="O25" s="123">
        <f t="shared" si="3"/>
        <v>2081401</v>
      </c>
    </row>
    <row r="26" spans="1:15" x14ac:dyDescent="0.25">
      <c r="A26" s="112" t="s">
        <v>141</v>
      </c>
      <c r="B26" s="114"/>
      <c r="C26" s="119"/>
      <c r="D26" s="119"/>
      <c r="E26" s="119"/>
      <c r="F26" s="119"/>
      <c r="G26" s="119"/>
      <c r="H26" s="119"/>
      <c r="I26" s="119"/>
      <c r="J26" s="119"/>
      <c r="K26" s="119"/>
      <c r="L26" s="119"/>
      <c r="M26" s="119"/>
      <c r="N26" s="119"/>
      <c r="O26" s="123">
        <f t="shared" si="3"/>
        <v>0</v>
      </c>
    </row>
    <row r="27" spans="1:15" x14ac:dyDescent="0.25">
      <c r="A27" s="112" t="s">
        <v>147</v>
      </c>
      <c r="B27" s="13"/>
      <c r="C27" s="119"/>
      <c r="D27" s="119"/>
      <c r="E27" s="113">
        <v>2189300</v>
      </c>
      <c r="F27" s="119"/>
      <c r="G27" s="119"/>
      <c r="H27" s="119"/>
      <c r="I27" s="119"/>
      <c r="J27" s="119"/>
      <c r="K27" s="119"/>
      <c r="L27" s="119"/>
      <c r="M27" s="119"/>
      <c r="N27" s="119"/>
      <c r="O27" s="123">
        <f t="shared" si="3"/>
        <v>2189300</v>
      </c>
    </row>
    <row r="28" spans="1:15" x14ac:dyDescent="0.25">
      <c r="A28" s="112" t="s">
        <v>142</v>
      </c>
      <c r="B28" s="113"/>
      <c r="C28" s="157">
        <v>3243437.82</v>
      </c>
      <c r="D28" s="157">
        <v>3243437.82</v>
      </c>
      <c r="E28" s="162">
        <v>3243437.82</v>
      </c>
      <c r="F28" s="172">
        <v>3243437.82</v>
      </c>
      <c r="G28" s="162">
        <v>3243437.82</v>
      </c>
      <c r="H28" s="162">
        <v>3243437.82</v>
      </c>
      <c r="I28" s="162">
        <v>3243437.82</v>
      </c>
      <c r="J28" s="162">
        <v>3243437.82</v>
      </c>
      <c r="K28" s="162">
        <v>3243437.82</v>
      </c>
      <c r="L28" s="162">
        <v>3243437.82</v>
      </c>
      <c r="M28" s="129">
        <v>3243437.82</v>
      </c>
      <c r="N28" s="189">
        <v>3243437.82</v>
      </c>
      <c r="O28" s="123">
        <f t="shared" si="3"/>
        <v>38921253.839999996</v>
      </c>
    </row>
    <row r="29" spans="1:15" x14ac:dyDescent="0.25">
      <c r="A29" s="60" t="s">
        <v>146</v>
      </c>
      <c r="B29" s="60"/>
      <c r="C29" s="125"/>
      <c r="D29" s="158">
        <f>1767000+1767000</f>
        <v>3534000</v>
      </c>
      <c r="E29" s="163">
        <v>1767000</v>
      </c>
      <c r="F29" s="171">
        <v>1767000</v>
      </c>
      <c r="G29" s="163">
        <v>1767000</v>
      </c>
      <c r="H29" s="163">
        <v>1767000</v>
      </c>
      <c r="I29" s="163">
        <v>1767000</v>
      </c>
      <c r="J29" s="163">
        <v>1767000</v>
      </c>
      <c r="K29" s="163">
        <v>1767000</v>
      </c>
      <c r="L29" s="163">
        <v>1767000</v>
      </c>
      <c r="M29" s="125">
        <v>1767000</v>
      </c>
      <c r="N29" s="66">
        <v>1767000</v>
      </c>
      <c r="O29" s="123">
        <f t="shared" si="3"/>
        <v>21204000</v>
      </c>
    </row>
    <row r="30" spans="1:15" x14ac:dyDescent="0.25">
      <c r="A30" s="40" t="s">
        <v>46</v>
      </c>
      <c r="B30" s="60"/>
      <c r="C30" s="125"/>
      <c r="D30" s="125"/>
      <c r="E30" s="125"/>
      <c r="F30" s="125"/>
      <c r="G30" s="125"/>
      <c r="H30" s="125"/>
      <c r="I30" s="125"/>
      <c r="J30" s="125"/>
      <c r="K30" s="125"/>
      <c r="L30" s="125"/>
      <c r="M30" s="125"/>
      <c r="N30" s="125"/>
      <c r="O30" s="123">
        <f t="shared" si="3"/>
        <v>0</v>
      </c>
    </row>
    <row r="31" spans="1:15" x14ac:dyDescent="0.25">
      <c r="A31" s="40" t="s">
        <v>167</v>
      </c>
      <c r="B31" s="60"/>
      <c r="C31" s="125"/>
      <c r="D31" s="125"/>
      <c r="E31" s="125"/>
      <c r="F31" s="171">
        <v>180000</v>
      </c>
      <c r="G31" s="125"/>
      <c r="H31" s="125"/>
      <c r="I31" s="163">
        <v>5274500</v>
      </c>
      <c r="J31" s="125"/>
      <c r="K31" s="125"/>
      <c r="L31" s="125"/>
      <c r="M31" s="125">
        <v>5307500</v>
      </c>
      <c r="N31" s="125"/>
      <c r="O31" s="123">
        <f t="shared" si="3"/>
        <v>10762000</v>
      </c>
    </row>
    <row r="32" spans="1:15" x14ac:dyDescent="0.25">
      <c r="A32" s="60" t="s">
        <v>150</v>
      </c>
      <c r="B32" s="60"/>
      <c r="C32" s="60"/>
      <c r="D32" s="60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123">
        <f t="shared" si="3"/>
        <v>0</v>
      </c>
    </row>
    <row r="33" spans="1:15" x14ac:dyDescent="0.25">
      <c r="A33" s="112" t="s">
        <v>169</v>
      </c>
      <c r="B33" s="33"/>
      <c r="C33" s="156">
        <f>4299000+32482000</f>
        <v>36781000</v>
      </c>
      <c r="D33" s="156">
        <f>1505000+48000</f>
        <v>1553000</v>
      </c>
      <c r="E33" s="113">
        <f>48000+1505000</f>
        <v>1553000</v>
      </c>
      <c r="F33" s="168">
        <f>6118000+534000</f>
        <v>6652000</v>
      </c>
      <c r="G33" s="113">
        <f>67000+2319000</f>
        <v>2386000</v>
      </c>
      <c r="H33" s="113">
        <f>5764000+817000</f>
        <v>6581000</v>
      </c>
      <c r="I33" s="113">
        <f>396000+3155000</f>
        <v>3551000</v>
      </c>
      <c r="J33" s="113">
        <f>2996000+603000</f>
        <v>3599000</v>
      </c>
      <c r="K33" s="113">
        <f>2987000+603000</f>
        <v>3590000</v>
      </c>
      <c r="L33" s="113">
        <f>3057000+583000</f>
        <v>3640000</v>
      </c>
      <c r="M33" s="13">
        <f>813000+2885000</f>
        <v>3698000</v>
      </c>
      <c r="N33" s="160">
        <f>977000+3222000</f>
        <v>4199000</v>
      </c>
      <c r="O33" s="123">
        <f t="shared" si="3"/>
        <v>77783000</v>
      </c>
    </row>
    <row r="34" spans="1:15" x14ac:dyDescent="0.25">
      <c r="A34" s="112" t="s">
        <v>175</v>
      </c>
      <c r="B34" s="33"/>
      <c r="C34" s="13"/>
      <c r="D34" s="156">
        <v>4346000</v>
      </c>
      <c r="E34" s="113">
        <v>336900</v>
      </c>
      <c r="F34" s="168">
        <v>4604000</v>
      </c>
      <c r="G34" s="113">
        <v>373000</v>
      </c>
      <c r="H34" s="113">
        <v>1069900</v>
      </c>
      <c r="I34" s="113">
        <v>599700</v>
      </c>
      <c r="J34" s="113">
        <v>498900</v>
      </c>
      <c r="K34" s="113">
        <v>491700</v>
      </c>
      <c r="L34" s="113">
        <v>10220700</v>
      </c>
      <c r="M34" s="13">
        <v>1194800</v>
      </c>
      <c r="N34" s="160">
        <v>699600</v>
      </c>
      <c r="O34" s="123">
        <f t="shared" si="3"/>
        <v>24435200</v>
      </c>
    </row>
    <row r="35" spans="1:15" x14ac:dyDescent="0.25">
      <c r="A35" s="112" t="s">
        <v>152</v>
      </c>
      <c r="B35" s="115"/>
      <c r="C35" s="119"/>
      <c r="D35" s="156">
        <f>7364000+3283000+11310000+28451000</f>
        <v>50408000</v>
      </c>
      <c r="E35" s="119"/>
      <c r="F35" s="168">
        <v>76000</v>
      </c>
      <c r="G35" s="119"/>
      <c r="H35" s="119"/>
      <c r="I35" s="119"/>
      <c r="J35" s="119"/>
      <c r="K35" s="119"/>
      <c r="L35" s="119"/>
      <c r="M35" s="119"/>
      <c r="N35" s="119"/>
      <c r="O35" s="123">
        <f t="shared" si="3"/>
        <v>50484000</v>
      </c>
    </row>
    <row r="36" spans="1:15" x14ac:dyDescent="0.25">
      <c r="A36" s="112" t="s">
        <v>170</v>
      </c>
      <c r="B36" s="115"/>
      <c r="C36" s="156">
        <f>9013000</f>
        <v>9013000</v>
      </c>
      <c r="D36" s="13"/>
      <c r="E36" s="113"/>
      <c r="F36" s="168">
        <f>17913000+1536000</f>
        <v>19449000</v>
      </c>
      <c r="G36" s="113">
        <v>247000</v>
      </c>
      <c r="H36" s="113">
        <f>638000+12200</f>
        <v>650200</v>
      </c>
      <c r="I36" s="113">
        <v>337000</v>
      </c>
      <c r="J36" s="113">
        <v>393000</v>
      </c>
      <c r="K36" s="113">
        <v>388000</v>
      </c>
      <c r="L36" s="113">
        <v>400000</v>
      </c>
      <c r="M36" s="13">
        <v>411000</v>
      </c>
      <c r="N36" s="160">
        <v>559000</v>
      </c>
      <c r="O36" s="123">
        <f t="shared" si="3"/>
        <v>31847200</v>
      </c>
    </row>
    <row r="37" spans="1:15" x14ac:dyDescent="0.25">
      <c r="A37" s="116" t="s">
        <v>157</v>
      </c>
      <c r="B37" s="115"/>
      <c r="C37" s="119"/>
      <c r="D37" s="119"/>
      <c r="E37" s="113">
        <v>6991640</v>
      </c>
      <c r="F37" s="119"/>
      <c r="G37" s="119"/>
      <c r="H37" s="119"/>
      <c r="I37" s="119"/>
      <c r="J37" s="119"/>
      <c r="K37" s="119"/>
      <c r="L37" s="119"/>
      <c r="M37" s="119"/>
      <c r="N37" s="119"/>
      <c r="O37" s="123">
        <f t="shared" si="3"/>
        <v>6991640</v>
      </c>
    </row>
    <row r="38" spans="1:15" x14ac:dyDescent="0.25">
      <c r="A38" s="112" t="s">
        <v>151</v>
      </c>
      <c r="B38" s="13"/>
      <c r="C38" s="119"/>
      <c r="D38" s="119"/>
      <c r="E38" s="119"/>
      <c r="F38" s="119"/>
      <c r="G38" s="119"/>
      <c r="H38" s="119"/>
      <c r="I38" s="119"/>
      <c r="J38" s="119"/>
      <c r="K38" s="119"/>
      <c r="L38" s="119"/>
      <c r="M38" s="119"/>
      <c r="N38" s="119"/>
      <c r="O38" s="123">
        <f t="shared" si="3"/>
        <v>0</v>
      </c>
    </row>
    <row r="39" spans="1:15" x14ac:dyDescent="0.25">
      <c r="A39" s="112" t="s">
        <v>190</v>
      </c>
      <c r="B39" s="13"/>
      <c r="C39" s="119"/>
      <c r="D39" s="13"/>
      <c r="E39" s="13"/>
      <c r="F39" s="13"/>
      <c r="G39" s="13"/>
      <c r="H39" s="13"/>
      <c r="I39" s="13"/>
      <c r="J39" s="13"/>
      <c r="K39" s="13"/>
      <c r="L39" s="113">
        <v>17150000</v>
      </c>
      <c r="M39" s="13"/>
      <c r="N39" s="160">
        <v>12953800</v>
      </c>
      <c r="O39" s="123">
        <f t="shared" si="3"/>
        <v>30103800</v>
      </c>
    </row>
    <row r="40" spans="1:15" x14ac:dyDescent="0.25">
      <c r="A40" s="116" t="s">
        <v>168</v>
      </c>
      <c r="B40" s="33"/>
      <c r="C40" s="33"/>
      <c r="D40" s="33"/>
      <c r="E40" s="119"/>
      <c r="F40" s="119"/>
      <c r="G40" s="113">
        <v>42245200</v>
      </c>
      <c r="H40" s="119"/>
      <c r="I40" s="119"/>
      <c r="J40" s="113">
        <f>30660781+55016</f>
        <v>30715797</v>
      </c>
      <c r="K40" s="119"/>
      <c r="L40" s="119"/>
      <c r="M40" s="119"/>
      <c r="N40" s="119"/>
      <c r="O40" s="119">
        <f t="shared" si="3"/>
        <v>72960997</v>
      </c>
    </row>
    <row r="41" spans="1:15" x14ac:dyDescent="0.25">
      <c r="A41" s="116" t="s">
        <v>155</v>
      </c>
      <c r="B41" s="33"/>
      <c r="C41" s="33"/>
      <c r="D41" s="33"/>
      <c r="E41" s="113">
        <v>8082261</v>
      </c>
      <c r="F41" s="13"/>
      <c r="G41" s="33"/>
      <c r="H41" s="33"/>
      <c r="I41" s="33"/>
      <c r="J41" s="33"/>
      <c r="K41" s="33"/>
      <c r="L41" s="33"/>
      <c r="M41" s="33"/>
      <c r="N41" s="33"/>
      <c r="O41" s="123">
        <f t="shared" si="3"/>
        <v>8082261</v>
      </c>
    </row>
    <row r="42" spans="1:15" x14ac:dyDescent="0.25">
      <c r="A42" s="112" t="s">
        <v>143</v>
      </c>
      <c r="B42" s="33"/>
      <c r="C42" s="156">
        <f>1004823+14003+5494+68206+5494</f>
        <v>1098020</v>
      </c>
      <c r="D42" s="160">
        <f>424267+24643+3360+126340+3960</f>
        <v>582570</v>
      </c>
      <c r="E42" s="13">
        <f>1070488+126564+3136</f>
        <v>1200188</v>
      </c>
      <c r="F42" s="173">
        <f>496947+29963+3360+98000+59700</f>
        <v>687970</v>
      </c>
      <c r="G42" s="113">
        <f>467861+25973+3360+59700+77000</f>
        <v>633894</v>
      </c>
      <c r="H42" s="113">
        <f>24643+331302+3360+59700+70000</f>
        <v>489005</v>
      </c>
      <c r="I42" s="113">
        <f>27303+346144+3330+59700+84000</f>
        <v>520477</v>
      </c>
      <c r="J42" s="113">
        <f>28633+434904+59700+91000+3441</f>
        <v>617678</v>
      </c>
      <c r="K42" s="113">
        <f>227285+23313+59700+63000+3441</f>
        <v>376739</v>
      </c>
      <c r="L42" s="113">
        <f>2232345+20653+1440+59700+47560</f>
        <v>2361698</v>
      </c>
      <c r="M42" s="13">
        <f>338629+27303+192+59700+84000</f>
        <v>509824</v>
      </c>
      <c r="N42" s="13">
        <f>2265460+22458+62200+56000</f>
        <v>2406118</v>
      </c>
      <c r="O42" s="123">
        <f t="shared" si="3"/>
        <v>11484181</v>
      </c>
    </row>
    <row r="43" spans="1:15" x14ac:dyDescent="0.25">
      <c r="A43" s="116" t="s">
        <v>154</v>
      </c>
      <c r="B43" s="33"/>
      <c r="C43" s="127"/>
      <c r="D43" s="127"/>
      <c r="E43" s="127"/>
      <c r="F43" s="168">
        <v>9314733</v>
      </c>
      <c r="G43" s="119"/>
      <c r="H43" s="127"/>
      <c r="I43" s="127"/>
      <c r="J43" s="127"/>
      <c r="K43" s="127"/>
      <c r="L43" s="127"/>
      <c r="M43" s="127"/>
      <c r="N43" s="127"/>
      <c r="O43" s="123">
        <f t="shared" si="3"/>
        <v>9314733</v>
      </c>
    </row>
    <row r="44" spans="1:15" x14ac:dyDescent="0.25">
      <c r="A44" s="112" t="s">
        <v>143</v>
      </c>
      <c r="B44" s="121"/>
      <c r="C44" s="121"/>
      <c r="D44" s="121"/>
      <c r="E44" s="121"/>
      <c r="F44" s="121"/>
      <c r="G44" s="121"/>
      <c r="H44" s="121"/>
      <c r="I44" s="121"/>
      <c r="J44" s="121"/>
      <c r="K44" s="121"/>
      <c r="L44" s="121"/>
      <c r="M44" s="121"/>
      <c r="N44" s="121"/>
      <c r="O44" s="117"/>
    </row>
    <row r="45" spans="1:15" x14ac:dyDescent="0.25">
      <c r="A45" s="112" t="s">
        <v>158</v>
      </c>
      <c r="B45" s="121"/>
      <c r="C45" s="121"/>
      <c r="D45" s="121"/>
      <c r="E45" s="121"/>
      <c r="F45" s="121"/>
      <c r="G45" s="121"/>
      <c r="H45" s="121"/>
      <c r="I45" s="121"/>
      <c r="J45" s="121"/>
      <c r="K45" s="121"/>
      <c r="L45" s="121"/>
      <c r="M45" s="121"/>
      <c r="N45" s="121"/>
      <c r="O45" s="117"/>
    </row>
    <row r="46" spans="1:15" x14ac:dyDescent="0.25">
      <c r="A46" s="112" t="s">
        <v>159</v>
      </c>
      <c r="B46" s="121"/>
      <c r="C46" s="126"/>
      <c r="D46" s="126"/>
      <c r="E46" s="126"/>
      <c r="F46" s="170">
        <v>5541667</v>
      </c>
      <c r="G46" s="161">
        <v>5541667</v>
      </c>
      <c r="H46" s="161">
        <v>5541667</v>
      </c>
      <c r="I46" s="161">
        <v>5541667</v>
      </c>
      <c r="J46" s="161">
        <v>5541667</v>
      </c>
      <c r="K46" s="126"/>
      <c r="L46" s="126"/>
      <c r="M46" s="126"/>
      <c r="N46" s="126"/>
      <c r="O46" s="126">
        <f>SUM(F46:N46)</f>
        <v>27708335</v>
      </c>
    </row>
    <row r="47" spans="1:15" x14ac:dyDescent="0.25">
      <c r="A47" s="112" t="s">
        <v>160</v>
      </c>
      <c r="B47" s="121"/>
      <c r="C47" s="155">
        <v>6932488.6699999999</v>
      </c>
      <c r="D47" s="155">
        <v>6932488.6699999999</v>
      </c>
      <c r="E47" s="126"/>
      <c r="F47" s="170">
        <v>11705531</v>
      </c>
      <c r="G47" s="161">
        <v>11705531</v>
      </c>
      <c r="H47" s="161">
        <v>11705531</v>
      </c>
      <c r="I47" s="161">
        <v>11705531</v>
      </c>
      <c r="J47" s="161">
        <v>11705531</v>
      </c>
      <c r="K47" s="126"/>
      <c r="L47" s="126"/>
      <c r="M47" s="126"/>
      <c r="N47" s="126"/>
      <c r="O47" s="126">
        <f>SUM(C47:N47)</f>
        <v>72392632.340000004</v>
      </c>
    </row>
    <row r="48" spans="1:15" x14ac:dyDescent="0.25">
      <c r="A48" s="112" t="s">
        <v>161</v>
      </c>
      <c r="B48" s="121"/>
      <c r="C48" s="126"/>
      <c r="D48" s="126"/>
      <c r="E48" s="164">
        <v>11548688.52</v>
      </c>
      <c r="F48" s="169">
        <v>11548688.52</v>
      </c>
      <c r="G48" s="164">
        <v>11548688.52</v>
      </c>
      <c r="H48" s="164">
        <v>11548688.52</v>
      </c>
      <c r="I48" s="164">
        <v>11548688.52</v>
      </c>
      <c r="J48" s="161">
        <v>11548688.52</v>
      </c>
      <c r="K48" s="126"/>
      <c r="L48" s="126"/>
      <c r="M48" s="126"/>
      <c r="N48" s="126"/>
      <c r="O48" s="126">
        <f>SUM(E48:N48)</f>
        <v>69292131.11999999</v>
      </c>
    </row>
    <row r="49" spans="1:15" x14ac:dyDescent="0.25">
      <c r="A49" s="112" t="s">
        <v>162</v>
      </c>
      <c r="B49" s="121"/>
      <c r="C49" s="126"/>
      <c r="D49" s="126"/>
      <c r="E49" s="126"/>
      <c r="F49" s="126"/>
      <c r="G49" s="126"/>
      <c r="H49" s="126"/>
      <c r="I49" s="126"/>
      <c r="J49" s="126"/>
      <c r="K49" s="126"/>
      <c r="L49" s="126"/>
      <c r="M49" s="126"/>
      <c r="N49" s="126"/>
      <c r="O49" s="126">
        <f>SUM(C49:N49)</f>
        <v>0</v>
      </c>
    </row>
    <row r="50" spans="1:15" x14ac:dyDescent="0.25">
      <c r="A50" s="112" t="s">
        <v>163</v>
      </c>
      <c r="B50" s="121"/>
      <c r="C50" s="155">
        <f>100000000+79351448.5</f>
        <v>179351448.5</v>
      </c>
      <c r="D50" s="126"/>
      <c r="E50" s="161">
        <f>100000000+76163779</f>
        <v>176163779</v>
      </c>
      <c r="F50" s="126"/>
      <c r="G50" s="126"/>
      <c r="H50" s="126"/>
      <c r="I50" s="126"/>
      <c r="J50" s="126"/>
      <c r="K50" s="126"/>
      <c r="L50" s="126"/>
      <c r="M50" s="126"/>
      <c r="N50" s="126"/>
      <c r="O50" s="126">
        <f>SUM(C50:N50)</f>
        <v>355515227.5</v>
      </c>
    </row>
    <row r="51" spans="1:15" x14ac:dyDescent="0.25">
      <c r="A51" s="112" t="s">
        <v>164</v>
      </c>
      <c r="B51" s="121"/>
      <c r="C51" s="121"/>
      <c r="D51" s="121"/>
      <c r="E51" s="121"/>
      <c r="F51" s="121"/>
      <c r="G51" s="121"/>
      <c r="H51" s="121"/>
      <c r="I51" s="121"/>
      <c r="J51" s="121"/>
      <c r="K51" s="121"/>
      <c r="L51" s="121"/>
      <c r="M51" s="121"/>
      <c r="N51" s="121"/>
      <c r="O51" s="117">
        <f>SUM(C51:N51)</f>
        <v>0</v>
      </c>
    </row>
    <row r="52" spans="1:15" x14ac:dyDescent="0.25">
      <c r="A52" s="112" t="s">
        <v>166</v>
      </c>
      <c r="B52" s="121"/>
      <c r="C52" s="126"/>
      <c r="D52" s="126"/>
      <c r="E52" s="126"/>
      <c r="F52" s="126"/>
      <c r="G52" s="126"/>
      <c r="H52" s="126"/>
      <c r="I52" s="126"/>
      <c r="J52" s="126"/>
      <c r="K52" s="126"/>
      <c r="L52" s="126"/>
      <c r="M52" s="126"/>
      <c r="N52" s="126"/>
      <c r="O52" s="126">
        <f>SUM(C52:N52)</f>
        <v>0</v>
      </c>
    </row>
    <row r="53" spans="1:15" x14ac:dyDescent="0.25">
      <c r="A53" s="112" t="s">
        <v>180</v>
      </c>
      <c r="B53" s="117"/>
      <c r="C53" s="33"/>
      <c r="D53" s="156">
        <v>293000</v>
      </c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109"/>
    </row>
    <row r="54" spans="1:15" x14ac:dyDescent="0.25">
      <c r="A54" s="110" t="s">
        <v>145</v>
      </c>
      <c r="B54" s="33"/>
      <c r="C54" s="109">
        <f>SUM(C16:C53)</f>
        <v>252216064.99000001</v>
      </c>
      <c r="D54" s="109">
        <f>SUM(D16:D53)</f>
        <v>106494866.48999999</v>
      </c>
      <c r="E54" s="167">
        <f>SUM(E16:E53)</f>
        <v>261723364.33999997</v>
      </c>
      <c r="F54" s="109">
        <f>SUM(F16:F53)</f>
        <v>124737697.33999999</v>
      </c>
      <c r="G54" s="167">
        <f>SUM(G16:G53)</f>
        <v>117436888.33999999</v>
      </c>
      <c r="H54" s="167">
        <f t="shared" ref="H54:N54" si="4">SUM(H16:H53)</f>
        <v>83160399.339999989</v>
      </c>
      <c r="I54" s="167">
        <f t="shared" si="4"/>
        <v>86885808.339999989</v>
      </c>
      <c r="J54" s="167">
        <f t="shared" si="4"/>
        <v>109164769.33999999</v>
      </c>
      <c r="K54" s="167">
        <f t="shared" si="4"/>
        <v>57051986.82</v>
      </c>
      <c r="L54" s="167">
        <f t="shared" si="4"/>
        <v>77567605.819999993</v>
      </c>
      <c r="M54" s="167">
        <f t="shared" si="4"/>
        <v>84996718.819999993</v>
      </c>
      <c r="N54" s="167">
        <f t="shared" si="4"/>
        <v>75905953.819999993</v>
      </c>
      <c r="O54" s="109">
        <f>SUM(O16:O53)</f>
        <v>1437049123.8</v>
      </c>
    </row>
    <row r="55" spans="1:15" x14ac:dyDescent="0.25">
      <c r="A55" s="179" t="s">
        <v>182</v>
      </c>
      <c r="B55" s="33"/>
      <c r="C55" s="187">
        <f>C13-C54</f>
        <v>587643421.38999999</v>
      </c>
      <c r="D55" s="187">
        <f>D13-D54</f>
        <v>681196584.89999998</v>
      </c>
      <c r="E55" s="187">
        <f t="shared" ref="E55:N55" si="5">E13-E54</f>
        <v>572985153.55999994</v>
      </c>
      <c r="F55" s="187">
        <f t="shared" si="5"/>
        <v>448415986.21999997</v>
      </c>
      <c r="G55" s="187">
        <f t="shared" si="5"/>
        <v>463124648.88000005</v>
      </c>
      <c r="H55" s="187">
        <f t="shared" si="5"/>
        <v>380080587.54000008</v>
      </c>
      <c r="I55" s="187">
        <f t="shared" si="5"/>
        <v>294514977.20000011</v>
      </c>
      <c r="J55" s="187">
        <f t="shared" si="5"/>
        <v>186431383.86000013</v>
      </c>
      <c r="K55" s="188">
        <f>K13-K54</f>
        <v>130020659.04000014</v>
      </c>
      <c r="L55" s="187">
        <f>L13-L54+L67</f>
        <v>134529225.22000015</v>
      </c>
      <c r="M55" s="187">
        <f t="shared" si="5"/>
        <v>106831049.90000015</v>
      </c>
      <c r="N55" s="187">
        <f t="shared" si="5"/>
        <v>175615166.08000016</v>
      </c>
      <c r="O55" s="132"/>
    </row>
    <row r="56" spans="1:15" x14ac:dyDescent="0.25">
      <c r="A56" s="33"/>
      <c r="B56" s="33"/>
      <c r="C56" s="150"/>
      <c r="D56" s="33"/>
      <c r="E56" s="33"/>
      <c r="F56" s="33"/>
      <c r="G56" s="33"/>
      <c r="H56" s="33"/>
      <c r="I56" s="33"/>
      <c r="J56" s="33"/>
      <c r="K56" s="33" t="s">
        <v>194</v>
      </c>
      <c r="L56" s="115">
        <f>144501551.72-134529225.22</f>
        <v>9972326.5</v>
      </c>
      <c r="M56" s="33"/>
      <c r="N56" s="33"/>
      <c r="O56" s="33"/>
    </row>
    <row r="57" spans="1:15" x14ac:dyDescent="0.25">
      <c r="A57" s="33" t="s">
        <v>198</v>
      </c>
      <c r="B57" s="118"/>
      <c r="C57" s="33"/>
      <c r="D57" s="33"/>
      <c r="E57" s="165"/>
      <c r="F57" s="33"/>
      <c r="G57" s="33"/>
      <c r="H57" s="33"/>
      <c r="I57" s="33"/>
      <c r="J57" s="33"/>
      <c r="K57" s="33"/>
      <c r="L57" s="184">
        <f>L55+L56</f>
        <v>144501551.72000015</v>
      </c>
      <c r="M57" s="115"/>
      <c r="N57" s="33"/>
      <c r="O57" s="33"/>
    </row>
    <row r="58" spans="1:15" x14ac:dyDescent="0.25">
      <c r="A58" s="166" t="s">
        <v>184</v>
      </c>
      <c r="B58" s="149"/>
      <c r="C58" s="149">
        <v>116363.44</v>
      </c>
      <c r="D58" s="174">
        <v>105136.36</v>
      </c>
      <c r="E58" s="174">
        <v>116438.52</v>
      </c>
      <c r="F58" s="174">
        <v>112720.01</v>
      </c>
      <c r="G58" s="175">
        <v>116516.18</v>
      </c>
      <c r="H58" s="175">
        <v>112795.2</v>
      </c>
      <c r="I58" s="180">
        <f>116596.09+31000</f>
        <v>147596.09</v>
      </c>
      <c r="J58" s="175">
        <f>116643.93</f>
        <v>116643.93</v>
      </c>
      <c r="K58" s="175">
        <v>112918.88</v>
      </c>
      <c r="L58" s="175">
        <v>116721.73</v>
      </c>
      <c r="M58" s="175">
        <v>112994.2</v>
      </c>
      <c r="N58" s="175">
        <v>116799.59</v>
      </c>
    </row>
    <row r="59" spans="1:15" x14ac:dyDescent="0.25">
      <c r="A59" s="153" t="s">
        <v>179</v>
      </c>
      <c r="B59" s="149">
        <v>343324030.06</v>
      </c>
      <c r="C59" s="154">
        <f>B59+C58</f>
        <v>343440393.5</v>
      </c>
      <c r="D59" s="154">
        <f>C59+D58</f>
        <v>343545529.86000001</v>
      </c>
      <c r="E59" s="105">
        <f t="shared" ref="E59:N59" si="6">E58+D59</f>
        <v>343661968.38</v>
      </c>
      <c r="F59" s="105">
        <f t="shared" si="6"/>
        <v>343774688.38999999</v>
      </c>
      <c r="G59" s="105">
        <f t="shared" si="6"/>
        <v>343891204.56999999</v>
      </c>
      <c r="H59" s="105">
        <f t="shared" si="6"/>
        <v>344003999.76999998</v>
      </c>
      <c r="I59" s="105">
        <f t="shared" si="6"/>
        <v>344151595.85999995</v>
      </c>
      <c r="J59" s="105">
        <f t="shared" si="6"/>
        <v>344268239.78999996</v>
      </c>
      <c r="K59" s="105">
        <f t="shared" si="6"/>
        <v>344381158.66999996</v>
      </c>
      <c r="L59" s="105">
        <f t="shared" si="6"/>
        <v>344497880.39999998</v>
      </c>
      <c r="M59" s="105">
        <f t="shared" si="6"/>
        <v>344610874.59999996</v>
      </c>
      <c r="N59" s="105">
        <f t="shared" si="6"/>
        <v>344727674.18999994</v>
      </c>
    </row>
    <row r="60" spans="1:15" x14ac:dyDescent="0.25">
      <c r="A60" s="177" t="s">
        <v>188</v>
      </c>
      <c r="C60" s="105"/>
      <c r="D60" s="148"/>
      <c r="I60" s="178">
        <v>492725000</v>
      </c>
      <c r="J60" s="178">
        <v>492725000</v>
      </c>
      <c r="K60" s="178">
        <v>492725000</v>
      </c>
      <c r="L60" s="178">
        <v>-482751243</v>
      </c>
      <c r="N60" s="190">
        <v>492725000</v>
      </c>
    </row>
    <row r="61" spans="1:15" x14ac:dyDescent="0.25">
      <c r="A61" t="s">
        <v>181</v>
      </c>
      <c r="C61" s="152">
        <f>C56+C59</f>
        <v>343440393.5</v>
      </c>
      <c r="D61" s="105">
        <f>D55+C59</f>
        <v>1024636978.4</v>
      </c>
      <c r="E61" s="105">
        <f>E55+D59</f>
        <v>916530683.41999996</v>
      </c>
      <c r="F61" s="105">
        <f>F55+F59</f>
        <v>792190674.6099999</v>
      </c>
      <c r="G61" s="105">
        <f>G55+G59</f>
        <v>807015853.45000005</v>
      </c>
      <c r="H61" s="105">
        <f>H55+H59</f>
        <v>724084587.31000006</v>
      </c>
      <c r="K61" s="181">
        <v>44470</v>
      </c>
      <c r="L61" s="182"/>
    </row>
    <row r="62" spans="1:15" x14ac:dyDescent="0.25">
      <c r="I62" s="105">
        <f>I55+I59</f>
        <v>638666573.06000006</v>
      </c>
      <c r="J62" s="105">
        <f>J55+J59</f>
        <v>530699623.6500001</v>
      </c>
      <c r="K62" s="105">
        <f t="shared" ref="K62:L62" si="7">K55+K59</f>
        <v>474401817.7100001</v>
      </c>
      <c r="L62" s="105">
        <f t="shared" si="7"/>
        <v>479027105.62000012</v>
      </c>
    </row>
    <row r="63" spans="1:15" x14ac:dyDescent="0.25">
      <c r="A63" t="s">
        <v>195</v>
      </c>
      <c r="D63" s="105">
        <f>D55-681196584.9</f>
        <v>0</v>
      </c>
      <c r="F63" s="105"/>
      <c r="I63" s="105">
        <f>I62+I60</f>
        <v>1131391573.0599999</v>
      </c>
      <c r="J63" s="105">
        <f>J62+J60</f>
        <v>1023424623.6500001</v>
      </c>
      <c r="K63" s="105">
        <f t="shared" ref="K63" si="8">K62+K60</f>
        <v>967126817.71000004</v>
      </c>
      <c r="L63" s="105">
        <f>L57+L59</f>
        <v>488999432.12000012</v>
      </c>
      <c r="M63" s="105">
        <f>M59+M55</f>
        <v>451441924.50000012</v>
      </c>
      <c r="N63" s="183">
        <f>N55+N60</f>
        <v>668340166.08000016</v>
      </c>
    </row>
    <row r="64" spans="1:15" x14ac:dyDescent="0.25">
      <c r="A64" t="s">
        <v>197</v>
      </c>
      <c r="H64" s="176"/>
      <c r="J64" s="11"/>
      <c r="K64" s="105"/>
      <c r="N64" s="152">
        <f>N63+N59</f>
        <v>1013067840.2700001</v>
      </c>
    </row>
    <row r="65" spans="6:14" x14ac:dyDescent="0.25">
      <c r="F65" s="152"/>
      <c r="L65" s="183"/>
      <c r="M65" s="106"/>
    </row>
    <row r="66" spans="6:14" x14ac:dyDescent="0.25">
      <c r="H66" s="105"/>
      <c r="N66" s="186">
        <f>N64-1013067840.27</f>
        <v>0</v>
      </c>
    </row>
    <row r="67" spans="6:14" x14ac:dyDescent="0.25">
      <c r="L67" s="183"/>
    </row>
  </sheetData>
  <mergeCells count="1">
    <mergeCell ref="B1:O1"/>
  </mergeCells>
  <pageMargins left="0.7" right="0.7" top="0.75" bottom="0.75" header="0.3" footer="0.3"/>
  <pageSetup paperSize="9" orientation="portrait" horizontalDpi="300" verticalDpi="3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FLUJO DE CAJA</vt:lpstr>
      <vt:lpstr>ProyeccGastosG</vt:lpstr>
      <vt:lpstr>FLUJO DE CAJA ENERO 2021</vt:lpstr>
      <vt:lpstr>FLUJO DE CAJA FEBRERO 2021</vt:lpstr>
      <vt:lpstr>FLUJO DE CAJA MARZO 2021</vt:lpstr>
      <vt:lpstr>flujo caja 2021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TESORERIA</dc:creator>
  <cp:lastModifiedBy>Lenovo</cp:lastModifiedBy>
  <cp:lastPrinted>2021-11-30T14:25:50Z</cp:lastPrinted>
  <dcterms:created xsi:type="dcterms:W3CDTF">2019-02-18T15:11:31Z</dcterms:created>
  <dcterms:modified xsi:type="dcterms:W3CDTF">2022-01-19T15:11:08Z</dcterms:modified>
</cp:coreProperties>
</file>